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9480" windowHeight="3735" activeTab="5"/>
  </bookViews>
  <sheets>
    <sheet name="2012-2013" sheetId="9" r:id="rId1"/>
    <sheet name="кальк" sheetId="10" r:id="rId2"/>
    <sheet name="ремонт " sheetId="11" r:id="rId3"/>
    <sheet name="2014" sheetId="12" r:id="rId4"/>
    <sheet name="Лист1" sheetId="13" r:id="rId5"/>
    <sheet name="2014-2015гг" sheetId="14" r:id="rId6"/>
  </sheets>
  <externalReferences>
    <externalReference r:id="rId7"/>
  </externalReferences>
  <calcPr calcId="145621"/>
</workbook>
</file>

<file path=xl/calcChain.xml><?xml version="1.0" encoding="utf-8"?>
<calcChain xmlns="http://schemas.openxmlformats.org/spreadsheetml/2006/main">
  <c r="AQ7" i="14" l="1"/>
  <c r="K7" i="14"/>
  <c r="B7" i="14"/>
  <c r="AR22" i="14"/>
  <c r="AI22" i="14"/>
  <c r="AH22" i="14"/>
  <c r="AG22" i="14"/>
  <c r="AJ22" i="14" s="1"/>
  <c r="AS22" i="14" s="1"/>
  <c r="AR21" i="14"/>
  <c r="AI21" i="14"/>
  <c r="AH21" i="14"/>
  <c r="AG21" i="14"/>
  <c r="AJ21" i="14" s="1"/>
  <c r="AS21" i="14" s="1"/>
  <c r="AR20" i="14"/>
  <c r="AI20" i="14"/>
  <c r="AH20" i="14"/>
  <c r="AG20" i="14"/>
  <c r="E19" i="14"/>
  <c r="AU18" i="14"/>
  <c r="AH18" i="14"/>
  <c r="AG18" i="14"/>
  <c r="P18" i="14"/>
  <c r="O18" i="14"/>
  <c r="N18" i="14"/>
  <c r="D18" i="14"/>
  <c r="C18" i="14"/>
  <c r="AU17" i="14"/>
  <c r="AH17" i="14"/>
  <c r="AG17" i="14"/>
  <c r="P17" i="14"/>
  <c r="O17" i="14"/>
  <c r="N17" i="14"/>
  <c r="D17" i="14"/>
  <c r="AR17" i="14" s="1"/>
  <c r="C17" i="14"/>
  <c r="AU16" i="14"/>
  <c r="AH16" i="14"/>
  <c r="AG16" i="14"/>
  <c r="P16" i="14"/>
  <c r="O16" i="14"/>
  <c r="N16" i="14"/>
  <c r="D16" i="14"/>
  <c r="AR16" i="14" s="1"/>
  <c r="C16" i="14"/>
  <c r="AH15" i="14"/>
  <c r="AG15" i="14"/>
  <c r="P15" i="14"/>
  <c r="O15" i="14"/>
  <c r="N15" i="14"/>
  <c r="D15" i="14"/>
  <c r="AR15" i="14" s="1"/>
  <c r="C15" i="14"/>
  <c r="AH14" i="14"/>
  <c r="AG14" i="14"/>
  <c r="O14" i="14"/>
  <c r="N14" i="14"/>
  <c r="F14" i="14"/>
  <c r="D14" i="14"/>
  <c r="AR14" i="14" s="1"/>
  <c r="C14" i="14"/>
  <c r="AH13" i="14"/>
  <c r="AG13" i="14"/>
  <c r="P13" i="14"/>
  <c r="O13" i="14"/>
  <c r="N13" i="14"/>
  <c r="G13" i="14"/>
  <c r="F13" i="14"/>
  <c r="D13" i="14"/>
  <c r="AR13" i="14" s="1"/>
  <c r="C13" i="14"/>
  <c r="AH12" i="14"/>
  <c r="AG12" i="14"/>
  <c r="N12" i="14"/>
  <c r="F12" i="14"/>
  <c r="D12" i="14"/>
  <c r="C12" i="14"/>
  <c r="R11" i="14"/>
  <c r="AH11" i="14" s="1"/>
  <c r="N11" i="14"/>
  <c r="G11" i="14"/>
  <c r="F11" i="14"/>
  <c r="D11" i="14"/>
  <c r="AR11" i="14" s="1"/>
  <c r="C11" i="14"/>
  <c r="R10" i="14"/>
  <c r="AH10" i="14" s="1"/>
  <c r="O10" i="14"/>
  <c r="N10" i="14"/>
  <c r="G10" i="14"/>
  <c r="F10" i="14"/>
  <c r="D10" i="14"/>
  <c r="AR10" i="14" s="1"/>
  <c r="C10" i="14"/>
  <c r="S9" i="14"/>
  <c r="R9" i="14"/>
  <c r="N9" i="14"/>
  <c r="F9" i="14"/>
  <c r="D9" i="14"/>
  <c r="AR9" i="14" s="1"/>
  <c r="C9" i="14"/>
  <c r="R8" i="14"/>
  <c r="AH8" i="14" s="1"/>
  <c r="O8" i="14"/>
  <c r="N8" i="14"/>
  <c r="F8" i="14"/>
  <c r="D8" i="14"/>
  <c r="AR8" i="14" s="1"/>
  <c r="C8" i="14"/>
  <c r="S7" i="14"/>
  <c r="R7" i="14"/>
  <c r="N7" i="14"/>
  <c r="K8" i="14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F7" i="14"/>
  <c r="H7" i="14" s="1"/>
  <c r="D7" i="14"/>
  <c r="V7" i="14" s="1"/>
  <c r="C7" i="14"/>
  <c r="E7" i="14"/>
  <c r="B8" i="14" s="1"/>
  <c r="E8" i="14" s="1"/>
  <c r="B9" i="14" s="1"/>
  <c r="E9" i="14" s="1"/>
  <c r="B10" i="14" s="1"/>
  <c r="E10" i="14" s="1"/>
  <c r="B11" i="14" s="1"/>
  <c r="E11" i="14" s="1"/>
  <c r="B12" i="14" s="1"/>
  <c r="E12" i="14" s="1"/>
  <c r="W4" i="14"/>
  <c r="X4" i="14" s="1"/>
  <c r="Y4" i="14" s="1"/>
  <c r="Z4" i="14" s="1"/>
  <c r="AA4" i="14" s="1"/>
  <c r="AB4" i="14" s="1"/>
  <c r="AC4" i="14" s="1"/>
  <c r="AD4" i="14" s="1"/>
  <c r="AE4" i="14" s="1"/>
  <c r="AF4" i="14" s="1"/>
  <c r="AG4" i="14" s="1"/>
  <c r="AH4" i="14" s="1"/>
  <c r="AI4" i="14" s="1"/>
  <c r="AJ4" i="14" s="1"/>
  <c r="AK4" i="14" s="1"/>
  <c r="AL4" i="14" s="1"/>
  <c r="AM4" i="14" s="1"/>
  <c r="AN4" i="14" s="1"/>
  <c r="G4" i="14"/>
  <c r="H4" i="14" s="1"/>
  <c r="I4" i="14" s="1"/>
  <c r="J4" i="14" s="1"/>
  <c r="K4" i="14" s="1"/>
  <c r="L4" i="14" s="1"/>
  <c r="D4" i="14"/>
  <c r="E4" i="14" s="1"/>
  <c r="AI3" i="14"/>
  <c r="AH3" i="14"/>
  <c r="AG3" i="14"/>
  <c r="AF3" i="14"/>
  <c r="AE3" i="14"/>
  <c r="AD3" i="14"/>
  <c r="K20" i="14" l="1"/>
  <c r="K21" i="14" s="1"/>
  <c r="K22" i="14" s="1"/>
  <c r="AH9" i="14"/>
  <c r="AG10" i="14"/>
  <c r="AG7" i="14"/>
  <c r="AG9" i="14"/>
  <c r="AH7" i="14"/>
  <c r="AG11" i="14"/>
  <c r="AJ20" i="14"/>
  <c r="AS20" i="14" s="1"/>
  <c r="B13" i="14"/>
  <c r="E13" i="14" s="1"/>
  <c r="B14" i="14" s="1"/>
  <c r="E14" i="14" s="1"/>
  <c r="B15" i="14" s="1"/>
  <c r="E15" i="14" s="1"/>
  <c r="B16" i="14" s="1"/>
  <c r="E16" i="14" s="1"/>
  <c r="B17" i="14" s="1"/>
  <c r="E17" i="14" s="1"/>
  <c r="B18" i="14" s="1"/>
  <c r="T12" i="14"/>
  <c r="T9" i="14"/>
  <c r="T10" i="14"/>
  <c r="T8" i="14"/>
  <c r="H8" i="14"/>
  <c r="L7" i="14"/>
  <c r="T7" i="14"/>
  <c r="T11" i="14"/>
  <c r="AI7" i="14"/>
  <c r="AJ7" i="14" s="1"/>
  <c r="AR7" i="14"/>
  <c r="AG8" i="14"/>
  <c r="AI8" i="14"/>
  <c r="AI9" i="14"/>
  <c r="AJ9" i="14" s="1"/>
  <c r="AS9" i="14" s="1"/>
  <c r="AR12" i="14"/>
  <c r="AI12" i="14"/>
  <c r="AJ12" i="14" s="1"/>
  <c r="AS12" i="14" s="1"/>
  <c r="T14" i="14"/>
  <c r="AI10" i="14"/>
  <c r="AJ10" i="14" s="1"/>
  <c r="AS10" i="14" s="1"/>
  <c r="AI11" i="14"/>
  <c r="AJ11" i="14" s="1"/>
  <c r="AS11" i="14" s="1"/>
  <c r="T13" i="14"/>
  <c r="T15" i="14"/>
  <c r="T16" i="14"/>
  <c r="T17" i="14"/>
  <c r="AI14" i="14"/>
  <c r="AJ14" i="14" s="1"/>
  <c r="AS14" i="14" s="1"/>
  <c r="AI16" i="14"/>
  <c r="AJ16" i="14" s="1"/>
  <c r="AS16" i="14" s="1"/>
  <c r="AI17" i="14"/>
  <c r="AJ17" i="14" s="1"/>
  <c r="AS17" i="14" s="1"/>
  <c r="AI18" i="14"/>
  <c r="AR18" i="14"/>
  <c r="AI13" i="14"/>
  <c r="AJ13" i="14" s="1"/>
  <c r="AS13" i="14" s="1"/>
  <c r="AI15" i="14"/>
  <c r="AJ15" i="14" s="1"/>
  <c r="AS15" i="14" s="1"/>
  <c r="F33" i="12"/>
  <c r="G33" i="12"/>
  <c r="I33" i="12"/>
  <c r="J33" i="12"/>
  <c r="M33" i="12"/>
  <c r="Q33" i="12"/>
  <c r="R33" i="12"/>
  <c r="S33" i="12"/>
  <c r="U33" i="12"/>
  <c r="V33" i="12"/>
  <c r="X33" i="12"/>
  <c r="Y33" i="12"/>
  <c r="Z33" i="12"/>
  <c r="AA33" i="12"/>
  <c r="AB33" i="12"/>
  <c r="AC33" i="12"/>
  <c r="AD33" i="12"/>
  <c r="AE33" i="12"/>
  <c r="AF33" i="12"/>
  <c r="AG33" i="12"/>
  <c r="AM33" i="12"/>
  <c r="AP33" i="12"/>
  <c r="AQ33" i="12"/>
  <c r="AU33" i="12"/>
  <c r="AW33" i="12"/>
  <c r="AH35" i="12"/>
  <c r="AI35" i="12"/>
  <c r="AJ35" i="12"/>
  <c r="AK35" i="12"/>
  <c r="AH36" i="12"/>
  <c r="AI36" i="12"/>
  <c r="AJ36" i="12"/>
  <c r="AK36" i="12"/>
  <c r="AH37" i="12"/>
  <c r="AI37" i="12"/>
  <c r="AJ37" i="12"/>
  <c r="AK37" i="12"/>
  <c r="AH38" i="12"/>
  <c r="AI38" i="12"/>
  <c r="AJ38" i="12"/>
  <c r="AK38" i="12"/>
  <c r="AH39" i="12"/>
  <c r="AI39" i="12"/>
  <c r="AJ39" i="12"/>
  <c r="AK39" i="12"/>
  <c r="AH40" i="12"/>
  <c r="AI40" i="12"/>
  <c r="AJ40" i="12"/>
  <c r="AK40" i="12"/>
  <c r="AH41" i="12"/>
  <c r="AI41" i="12"/>
  <c r="AJ41" i="12"/>
  <c r="AK41" i="12"/>
  <c r="AH42" i="12"/>
  <c r="AI42" i="12"/>
  <c r="AJ42" i="12"/>
  <c r="AK42" i="12"/>
  <c r="AH43" i="12"/>
  <c r="AI43" i="12"/>
  <c r="AJ43" i="12"/>
  <c r="AK43" i="12"/>
  <c r="AH44" i="12"/>
  <c r="AI44" i="12"/>
  <c r="AJ44" i="12"/>
  <c r="AK44" i="12"/>
  <c r="AH45" i="12"/>
  <c r="AI45" i="12"/>
  <c r="AJ45" i="12"/>
  <c r="AK45" i="12"/>
  <c r="AS46" i="12"/>
  <c r="AH46" i="12"/>
  <c r="AK46" i="12" s="1"/>
  <c r="AT46" i="12" s="1"/>
  <c r="AI46" i="12"/>
  <c r="AJ46" i="12"/>
  <c r="AS45" i="12"/>
  <c r="AT45" i="12"/>
  <c r="AS44" i="12"/>
  <c r="AT44" i="12"/>
  <c r="AS43" i="12"/>
  <c r="AT43" i="12"/>
  <c r="AS42" i="12"/>
  <c r="AT42" i="12"/>
  <c r="AS41" i="12"/>
  <c r="AT41" i="12"/>
  <c r="AS40" i="12"/>
  <c r="AT40" i="12"/>
  <c r="AS39" i="12"/>
  <c r="AT39" i="12"/>
  <c r="AS38" i="12"/>
  <c r="AT38" i="12"/>
  <c r="AS37" i="12"/>
  <c r="AT37" i="12"/>
  <c r="AS36" i="12"/>
  <c r="AT36" i="12"/>
  <c r="AS35" i="12"/>
  <c r="AT35" i="12"/>
  <c r="E34" i="12"/>
  <c r="X30" i="12"/>
  <c r="Y30" i="12"/>
  <c r="Z30" i="12" s="1"/>
  <c r="AA30" i="12" s="1"/>
  <c r="AB30" i="12" s="1"/>
  <c r="AC30" i="12" s="1"/>
  <c r="AD30" i="12" s="1"/>
  <c r="AE30" i="12" s="1"/>
  <c r="AF30" i="12" s="1"/>
  <c r="AG30" i="12" s="1"/>
  <c r="AH30" i="12" s="1"/>
  <c r="AI30" i="12" s="1"/>
  <c r="AJ30" i="12" s="1"/>
  <c r="AK30" i="12" s="1"/>
  <c r="AL30" i="12" s="1"/>
  <c r="AM30" i="12" s="1"/>
  <c r="AN30" i="12" s="1"/>
  <c r="AO30" i="12" s="1"/>
  <c r="G30" i="12"/>
  <c r="H30" i="12"/>
  <c r="I30" i="12" s="1"/>
  <c r="J30" i="12" s="1"/>
  <c r="K30" i="12" s="1"/>
  <c r="L30" i="12" s="1"/>
  <c r="D30" i="12"/>
  <c r="E30" i="12"/>
  <c r="C24" i="13"/>
  <c r="C23" i="13"/>
  <c r="C22" i="13"/>
  <c r="C21" i="13"/>
  <c r="C16" i="13"/>
  <c r="C15" i="13"/>
  <c r="C14" i="13"/>
  <c r="A14" i="13"/>
  <c r="A15" i="13" s="1"/>
  <c r="A16" i="13" s="1"/>
  <c r="A17" i="13" s="1"/>
  <c r="A18" i="13" s="1"/>
  <c r="A19" i="13" s="1"/>
  <c r="A20" i="13" s="1"/>
  <c r="C13" i="13"/>
  <c r="C12" i="13"/>
  <c r="C19" i="13" s="1"/>
  <c r="D19" i="13" s="1"/>
  <c r="H11" i="13"/>
  <c r="O20" i="12"/>
  <c r="O33" i="12" s="1"/>
  <c r="O19" i="12"/>
  <c r="O18" i="12"/>
  <c r="O17" i="12"/>
  <c r="O16" i="12"/>
  <c r="D20" i="12"/>
  <c r="D33" i="12" s="1"/>
  <c r="P20" i="12"/>
  <c r="P33" i="12" s="1"/>
  <c r="N20" i="12"/>
  <c r="N33" i="12" s="1"/>
  <c r="D19" i="12"/>
  <c r="AJ19" i="12" s="1"/>
  <c r="AK19" i="12" s="1"/>
  <c r="AT19" i="12" s="1"/>
  <c r="P19" i="12"/>
  <c r="N19" i="12"/>
  <c r="D18" i="12"/>
  <c r="AJ18" i="12" s="1"/>
  <c r="AK18" i="12" s="1"/>
  <c r="AT18" i="12" s="1"/>
  <c r="C17" i="12"/>
  <c r="C18" i="12"/>
  <c r="C19" i="12"/>
  <c r="C20" i="12"/>
  <c r="C33" i="12" s="1"/>
  <c r="P18" i="12"/>
  <c r="N18" i="12"/>
  <c r="D17" i="12"/>
  <c r="AJ17" i="12" s="1"/>
  <c r="AK17" i="12" s="1"/>
  <c r="AT17" i="12" s="1"/>
  <c r="P17" i="12"/>
  <c r="N17" i="12"/>
  <c r="D16" i="12"/>
  <c r="AJ16" i="12" s="1"/>
  <c r="AK16" i="12" s="1"/>
  <c r="AT16" i="12" s="1"/>
  <c r="N16" i="12"/>
  <c r="D15" i="12"/>
  <c r="AJ15" i="12" s="1"/>
  <c r="AK15" i="12" s="1"/>
  <c r="AT15" i="12" s="1"/>
  <c r="C16" i="12"/>
  <c r="F16" i="12"/>
  <c r="AH15" i="12"/>
  <c r="AI15" i="12"/>
  <c r="AH16" i="12"/>
  <c r="AI16" i="12"/>
  <c r="AH17" i="12"/>
  <c r="AI17" i="12"/>
  <c r="AH18" i="12"/>
  <c r="AI18" i="12"/>
  <c r="AH19" i="12"/>
  <c r="AI19" i="12"/>
  <c r="AH20" i="12"/>
  <c r="AH33" i="12" s="1"/>
  <c r="AI20" i="12"/>
  <c r="AI33" i="12" s="1"/>
  <c r="AV19" i="12"/>
  <c r="AV20" i="12"/>
  <c r="AV33" i="12" s="1"/>
  <c r="AV18" i="12"/>
  <c r="AS16" i="12"/>
  <c r="AS17" i="12"/>
  <c r="AS18" i="12"/>
  <c r="AS19" i="12"/>
  <c r="AS20" i="12"/>
  <c r="AS33" i="12" s="1"/>
  <c r="P15" i="12"/>
  <c r="G15" i="12"/>
  <c r="AS15" i="12" s="1"/>
  <c r="F15" i="12"/>
  <c r="N15" i="12"/>
  <c r="D14" i="12"/>
  <c r="AJ14" i="12" s="1"/>
  <c r="C15" i="12"/>
  <c r="O15" i="12"/>
  <c r="F14" i="12"/>
  <c r="AS14" i="12"/>
  <c r="R13" i="12"/>
  <c r="N14" i="12"/>
  <c r="D13" i="12"/>
  <c r="AJ13" i="12" s="1"/>
  <c r="C14" i="12"/>
  <c r="G13" i="12"/>
  <c r="F13" i="12"/>
  <c r="F29" i="11"/>
  <c r="R12" i="12"/>
  <c r="N13" i="12"/>
  <c r="D12" i="12"/>
  <c r="AJ12" i="12" s="1"/>
  <c r="C13" i="12"/>
  <c r="G12" i="12"/>
  <c r="F12" i="12"/>
  <c r="S11" i="12"/>
  <c r="O12" i="12"/>
  <c r="F11" i="12"/>
  <c r="AS12" i="12"/>
  <c r="AS13" i="12"/>
  <c r="AH12" i="12"/>
  <c r="AI12" i="12"/>
  <c r="AK12" i="12" s="1"/>
  <c r="AT12" i="12" s="1"/>
  <c r="AH13" i="12"/>
  <c r="AI13" i="12"/>
  <c r="AK13" i="12"/>
  <c r="AT13" i="12" s="1"/>
  <c r="AH14" i="12"/>
  <c r="AI14" i="12"/>
  <c r="AK14" i="12"/>
  <c r="AT14" i="12" s="1"/>
  <c r="R11" i="12"/>
  <c r="N12" i="12"/>
  <c r="D11" i="12"/>
  <c r="AS11" i="12" s="1"/>
  <c r="C12" i="12"/>
  <c r="AI10" i="12"/>
  <c r="R10" i="12"/>
  <c r="AH10" i="12" s="1"/>
  <c r="N11" i="12"/>
  <c r="D10" i="12"/>
  <c r="AJ10" i="12" s="1"/>
  <c r="C11" i="12"/>
  <c r="F10" i="12"/>
  <c r="AS10" i="12"/>
  <c r="E8" i="12"/>
  <c r="E7" i="12"/>
  <c r="T7" i="12" s="1"/>
  <c r="O10" i="12"/>
  <c r="N10" i="12"/>
  <c r="C10" i="12"/>
  <c r="S9" i="12"/>
  <c r="R9" i="12"/>
  <c r="AI9" i="12" s="1"/>
  <c r="AK9" i="12" s="1"/>
  <c r="AT9" i="12" s="1"/>
  <c r="N9" i="12"/>
  <c r="F9" i="12"/>
  <c r="D9" i="12"/>
  <c r="AJ9" i="12" s="1"/>
  <c r="AS9" i="12"/>
  <c r="C9" i="12"/>
  <c r="K9" i="12"/>
  <c r="K10" i="12" s="1"/>
  <c r="K11" i="12" s="1"/>
  <c r="K12" i="12" s="1"/>
  <c r="K13" i="12" s="1"/>
  <c r="K14" i="12" s="1"/>
  <c r="K15" i="12" s="1"/>
  <c r="K16" i="12" s="1"/>
  <c r="K17" i="12" s="1"/>
  <c r="K18" i="12" s="1"/>
  <c r="K19" i="12" s="1"/>
  <c r="K20" i="12" s="1"/>
  <c r="K33" i="12" s="1"/>
  <c r="K35" i="12" s="1"/>
  <c r="K36" i="12" s="1"/>
  <c r="K37" i="12" s="1"/>
  <c r="K38" i="12" s="1"/>
  <c r="K39" i="12" s="1"/>
  <c r="K40" i="12" s="1"/>
  <c r="K41" i="12" s="1"/>
  <c r="K42" i="12" s="1"/>
  <c r="K43" i="12" s="1"/>
  <c r="K44" i="12" s="1"/>
  <c r="K45" i="12" s="1"/>
  <c r="K46" i="12" s="1"/>
  <c r="X4" i="12"/>
  <c r="Y4" i="12"/>
  <c r="Z4" i="12" s="1"/>
  <c r="AA4" i="12" s="1"/>
  <c r="AB4" i="12" s="1"/>
  <c r="AC4" i="12" s="1"/>
  <c r="AD4" i="12" s="1"/>
  <c r="AE4" i="12" s="1"/>
  <c r="AF4" i="12" s="1"/>
  <c r="AG4" i="12" s="1"/>
  <c r="AH4" i="12" s="1"/>
  <c r="AI4" i="12" s="1"/>
  <c r="AJ4" i="12" s="1"/>
  <c r="AK4" i="12" s="1"/>
  <c r="AL4" i="12" s="1"/>
  <c r="AM4" i="12" s="1"/>
  <c r="AN4" i="12" s="1"/>
  <c r="AO4" i="12" s="1"/>
  <c r="D4" i="12"/>
  <c r="E4" i="12"/>
  <c r="G4" i="12"/>
  <c r="H4" i="12"/>
  <c r="I4" i="12" s="1"/>
  <c r="J4" i="12" s="1"/>
  <c r="K4" i="12" s="1"/>
  <c r="L4" i="12" s="1"/>
  <c r="AJ3" i="12"/>
  <c r="AJ29" i="12" s="1"/>
  <c r="AI3" i="12"/>
  <c r="AI29" i="12" s="1"/>
  <c r="AH3" i="12"/>
  <c r="AH29" i="12" s="1"/>
  <c r="AG3" i="12"/>
  <c r="AG29" i="12" s="1"/>
  <c r="AF3" i="12"/>
  <c r="AF29" i="12" s="1"/>
  <c r="AE3" i="12"/>
  <c r="AE29" i="12" s="1"/>
  <c r="AH9" i="12"/>
  <c r="U32" i="9"/>
  <c r="S33" i="9"/>
  <c r="AY32" i="9"/>
  <c r="AL32" i="9"/>
  <c r="AO32" i="9"/>
  <c r="T32" i="9"/>
  <c r="AM32" i="9" s="1"/>
  <c r="R33" i="9"/>
  <c r="V33" i="9" s="1"/>
  <c r="F32" i="9"/>
  <c r="E33" i="9"/>
  <c r="J32" i="9"/>
  <c r="AY31" i="9"/>
  <c r="AL31" i="9"/>
  <c r="AM31" i="9"/>
  <c r="R32" i="9"/>
  <c r="F31" i="9"/>
  <c r="E32" i="9"/>
  <c r="K31" i="9"/>
  <c r="J31" i="9"/>
  <c r="BB31" i="9"/>
  <c r="T30" i="9"/>
  <c r="AM30" i="9" s="1"/>
  <c r="R31" i="9"/>
  <c r="K30" i="9"/>
  <c r="AY30" i="9" s="1"/>
  <c r="J30" i="9"/>
  <c r="F30" i="9"/>
  <c r="E31" i="9"/>
  <c r="B9" i="12"/>
  <c r="E9" i="12" s="1"/>
  <c r="H9" i="12"/>
  <c r="H10" i="12" s="1"/>
  <c r="R30" i="9"/>
  <c r="F29" i="9"/>
  <c r="AO29" i="9" s="1"/>
  <c r="E30" i="9"/>
  <c r="E29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Z20" i="9"/>
  <c r="AY7" i="9"/>
  <c r="BD7" i="9"/>
  <c r="AY8" i="9"/>
  <c r="AY9" i="9"/>
  <c r="AY10" i="9"/>
  <c r="AY11" i="9"/>
  <c r="AY12" i="9"/>
  <c r="AY13" i="9"/>
  <c r="AY14" i="9"/>
  <c r="AY15" i="9"/>
  <c r="AY16" i="9"/>
  <c r="AY17" i="9"/>
  <c r="AY18" i="9"/>
  <c r="AY20" i="9"/>
  <c r="BD20" i="9" s="1"/>
  <c r="AY21" i="9"/>
  <c r="AX8" i="9"/>
  <c r="BD8" i="9"/>
  <c r="AX9" i="9"/>
  <c r="BD9" i="9"/>
  <c r="AX10" i="9"/>
  <c r="BD10" i="9"/>
  <c r="AX11" i="9"/>
  <c r="BD11" i="9"/>
  <c r="AX12" i="9"/>
  <c r="BD12" i="9"/>
  <c r="AX13" i="9"/>
  <c r="BD13" i="9"/>
  <c r="AX14" i="9"/>
  <c r="BD14" i="9"/>
  <c r="AX15" i="9"/>
  <c r="BD15" i="9"/>
  <c r="AX16" i="9"/>
  <c r="BD16" i="9"/>
  <c r="AX17" i="9"/>
  <c r="BD17" i="9"/>
  <c r="AX18" i="9"/>
  <c r="BD18" i="9"/>
  <c r="R29" i="9"/>
  <c r="F28" i="9"/>
  <c r="AO28" i="9" s="1"/>
  <c r="K28" i="9"/>
  <c r="J28" i="9"/>
  <c r="AL28" i="9"/>
  <c r="AQ28" i="9" s="1"/>
  <c r="AZ28" i="9" s="1"/>
  <c r="AM28" i="9"/>
  <c r="AL29" i="9"/>
  <c r="AQ29" i="9" s="1"/>
  <c r="AZ29" i="9" s="1"/>
  <c r="AM29" i="9"/>
  <c r="K27" i="9"/>
  <c r="J27" i="9"/>
  <c r="T27" i="9"/>
  <c r="AL27" i="9" s="1"/>
  <c r="AQ27" i="9" s="1"/>
  <c r="AZ27" i="9" s="1"/>
  <c r="R28" i="9"/>
  <c r="F27" i="9"/>
  <c r="AO27" i="9"/>
  <c r="E28" i="9"/>
  <c r="N25" i="9"/>
  <c r="AY25" i="9" s="1"/>
  <c r="M25" i="9"/>
  <c r="AK26" i="9"/>
  <c r="F26" i="9"/>
  <c r="AO26" i="9"/>
  <c r="F25" i="9"/>
  <c r="E26" i="9"/>
  <c r="E27" i="9"/>
  <c r="O26" i="9"/>
  <c r="O27" i="9" s="1"/>
  <c r="O28" i="9" s="1"/>
  <c r="O29" i="9" s="1"/>
  <c r="O30" i="9" s="1"/>
  <c r="O31" i="9" s="1"/>
  <c r="O32" i="9" s="1"/>
  <c r="AL26" i="9"/>
  <c r="AM26" i="9"/>
  <c r="AQ26" i="9"/>
  <c r="AZ26" i="9" s="1"/>
  <c r="R27" i="9"/>
  <c r="AJ44" i="9"/>
  <c r="AL25" i="9"/>
  <c r="AQ25" i="9" s="1"/>
  <c r="AZ25" i="9" s="1"/>
  <c r="AM25" i="9"/>
  <c r="AO25" i="9"/>
  <c r="AY27" i="9"/>
  <c r="AR20" i="9"/>
  <c r="Y21" i="9"/>
  <c r="AO21" i="9"/>
  <c r="AM22" i="9"/>
  <c r="AM23" i="9"/>
  <c r="AM24" i="9"/>
  <c r="AM21" i="9"/>
  <c r="AL23" i="9"/>
  <c r="AL24" i="9"/>
  <c r="AL22" i="9"/>
  <c r="AL21" i="9"/>
  <c r="AQ21" i="9" s="1"/>
  <c r="V21" i="9"/>
  <c r="O23" i="9"/>
  <c r="O24" i="9"/>
  <c r="O25" i="9"/>
  <c r="O22" i="9"/>
  <c r="L22" i="9"/>
  <c r="P22" i="9"/>
  <c r="F24" i="9"/>
  <c r="AY24" i="9"/>
  <c r="E25" i="9"/>
  <c r="F23" i="9"/>
  <c r="AO23" i="9" s="1"/>
  <c r="AQ23" i="9" s="1"/>
  <c r="AZ23" i="9" s="1"/>
  <c r="E24" i="9"/>
  <c r="F22" i="9"/>
  <c r="AO22" i="9"/>
  <c r="E23" i="9"/>
  <c r="L23" i="9"/>
  <c r="L24" i="9" s="1"/>
  <c r="AC4" i="9"/>
  <c r="AE4" i="9"/>
  <c r="AG4" i="9" s="1"/>
  <c r="AI4" i="9" s="1"/>
  <c r="AK4" i="9" s="1"/>
  <c r="AM4" i="9" s="1"/>
  <c r="AO4" i="9" s="1"/>
  <c r="AA4" i="9"/>
  <c r="AD4" i="9" s="1"/>
  <c r="AF4" i="9" s="1"/>
  <c r="AH4" i="9" s="1"/>
  <c r="AJ4" i="9" s="1"/>
  <c r="AL4" i="9" s="1"/>
  <c r="AN4" i="9" s="1"/>
  <c r="AP4" i="9" s="1"/>
  <c r="AQ4" i="9" s="1"/>
  <c r="AR4" i="9" s="1"/>
  <c r="AS4" i="9" s="1"/>
  <c r="AT4" i="9" s="1"/>
  <c r="AU4" i="9" s="1"/>
  <c r="C4" i="9"/>
  <c r="D4" i="9"/>
  <c r="E4" i="9" s="1"/>
  <c r="F4" i="9" s="1"/>
  <c r="G4" i="9" s="1"/>
  <c r="H4" i="9" s="1"/>
  <c r="I4" i="9" s="1"/>
  <c r="J4" i="9" s="1"/>
  <c r="K4" i="9" s="1"/>
  <c r="L4" i="9" s="1"/>
  <c r="M4" i="9" s="1"/>
  <c r="N4" i="9" s="1"/>
  <c r="O4" i="9" s="1"/>
  <c r="P4" i="9" s="1"/>
  <c r="P23" i="9"/>
  <c r="AP3" i="9"/>
  <c r="AO3" i="9"/>
  <c r="AN3" i="9"/>
  <c r="AM3" i="9"/>
  <c r="AL3" i="9"/>
  <c r="AK3" i="9"/>
  <c r="AJ3" i="9"/>
  <c r="AI3" i="9"/>
  <c r="F44" i="10"/>
  <c r="H44" i="10" s="1"/>
  <c r="W44" i="10" s="1"/>
  <c r="Z44" i="10" s="1"/>
  <c r="F42" i="10"/>
  <c r="H42" i="10" s="1"/>
  <c r="W42" i="10" s="1"/>
  <c r="Z42" i="10" s="1"/>
  <c r="H40" i="10"/>
  <c r="W40" i="10" s="1"/>
  <c r="Z40" i="10" s="1"/>
  <c r="H38" i="10"/>
  <c r="W38" i="10"/>
  <c r="Z38" i="10" s="1"/>
  <c r="H37" i="10"/>
  <c r="W37" i="10" s="1"/>
  <c r="Z37" i="10" s="1"/>
  <c r="F35" i="10"/>
  <c r="F48" i="10"/>
  <c r="H48" i="10" s="1"/>
  <c r="W48" i="10" s="1"/>
  <c r="Z48" i="10" s="1"/>
  <c r="H33" i="10"/>
  <c r="W33" i="10" s="1"/>
  <c r="Z33" i="10" s="1"/>
  <c r="AB28" i="10"/>
  <c r="W28" i="10"/>
  <c r="Z28" i="10" s="1"/>
  <c r="X28" i="10" s="1"/>
  <c r="U28" i="10"/>
  <c r="H28" i="10"/>
  <c r="U23" i="10"/>
  <c r="H23" i="10"/>
  <c r="X23" i="10" s="1"/>
  <c r="W23" i="10" s="1"/>
  <c r="U21" i="10"/>
  <c r="H21" i="10"/>
  <c r="X21" i="10" s="1"/>
  <c r="W21" i="10" s="1"/>
  <c r="U19" i="10"/>
  <c r="H19" i="10"/>
  <c r="X19" i="10" s="1"/>
  <c r="W19" i="10" s="1"/>
  <c r="U17" i="10"/>
  <c r="H17" i="10"/>
  <c r="X17" i="10" s="1"/>
  <c r="T16" i="10"/>
  <c r="R15" i="10"/>
  <c r="Q14" i="10"/>
  <c r="O14" i="10"/>
  <c r="R14" i="10"/>
  <c r="AB56" i="10" s="1"/>
  <c r="Z15" i="10"/>
  <c r="H35" i="10"/>
  <c r="W35" i="10"/>
  <c r="Z35" i="10" s="1"/>
  <c r="AA53" i="10"/>
  <c r="Z52" i="10"/>
  <c r="Z54" i="10" s="1"/>
  <c r="Z14" i="10"/>
  <c r="AQ22" i="9"/>
  <c r="AZ22" i="9"/>
  <c r="G22" i="9"/>
  <c r="AO24" i="9"/>
  <c r="AQ24" i="9" s="1"/>
  <c r="AZ24" i="9" s="1"/>
  <c r="AY22" i="9"/>
  <c r="AY26" i="9"/>
  <c r="AM27" i="9"/>
  <c r="AY29" i="9"/>
  <c r="C23" i="9"/>
  <c r="G23" i="9"/>
  <c r="C24" i="9" s="1"/>
  <c r="G24" i="9" s="1"/>
  <c r="I22" i="9"/>
  <c r="T14" i="10"/>
  <c r="T52" i="10" s="1"/>
  <c r="AR9" i="12"/>
  <c r="AX9" i="12" s="1"/>
  <c r="W9" i="12"/>
  <c r="AL9" i="12" s="1"/>
  <c r="AN9" i="12" s="1"/>
  <c r="AO9" i="12" s="1"/>
  <c r="V22" i="9"/>
  <c r="B23" i="9"/>
  <c r="D21" i="13" l="1"/>
  <c r="D23" i="13"/>
  <c r="D17" i="13"/>
  <c r="D22" i="13"/>
  <c r="D24" i="13"/>
  <c r="AS7" i="14"/>
  <c r="AK7" i="14"/>
  <c r="AM7" i="14" s="1"/>
  <c r="AN7" i="14" s="1"/>
  <c r="AV7" i="14"/>
  <c r="AJ18" i="14"/>
  <c r="AJ8" i="14"/>
  <c r="AS8" i="14" s="1"/>
  <c r="H9" i="14"/>
  <c r="L8" i="14"/>
  <c r="E18" i="14"/>
  <c r="B20" i="14" s="1"/>
  <c r="Y17" i="10"/>
  <c r="X56" i="10"/>
  <c r="W17" i="10"/>
  <c r="V19" i="10"/>
  <c r="AC19" i="10" s="1"/>
  <c r="AD19" i="10" s="1"/>
  <c r="Z19" i="10"/>
  <c r="Z21" i="10"/>
  <c r="V21" i="10"/>
  <c r="AC21" i="10" s="1"/>
  <c r="AD21" i="10" s="1"/>
  <c r="V23" i="10"/>
  <c r="AC23" i="10" s="1"/>
  <c r="AD23" i="10" s="1"/>
  <c r="Z23" i="10"/>
  <c r="B10" i="12"/>
  <c r="E10" i="12" s="1"/>
  <c r="B11" i="12" s="1"/>
  <c r="E11" i="12" s="1"/>
  <c r="T9" i="12"/>
  <c r="AQ32" i="9"/>
  <c r="AZ32" i="9" s="1"/>
  <c r="W10" i="12"/>
  <c r="AR10" i="12"/>
  <c r="T53" i="10"/>
  <c r="T54" i="10" s="1"/>
  <c r="C25" i="9"/>
  <c r="G25" i="9" s="1"/>
  <c r="I24" i="9"/>
  <c r="L25" i="9"/>
  <c r="P24" i="9"/>
  <c r="AZ21" i="9"/>
  <c r="BD21" i="9" s="1"/>
  <c r="AR21" i="9"/>
  <c r="AT21" i="9" s="1"/>
  <c r="AU21" i="9" s="1"/>
  <c r="I23" i="9"/>
  <c r="F46" i="10"/>
  <c r="H46" i="10" s="1"/>
  <c r="W46" i="10" s="1"/>
  <c r="Z46" i="10" s="1"/>
  <c r="AY23" i="9"/>
  <c r="AY28" i="9"/>
  <c r="L9" i="12"/>
  <c r="AO30" i="9"/>
  <c r="AL30" i="9"/>
  <c r="AO31" i="9"/>
  <c r="AQ31" i="9" s="1"/>
  <c r="AZ31" i="9" s="1"/>
  <c r="AI11" i="12"/>
  <c r="AH11" i="12"/>
  <c r="AK11" i="12" s="1"/>
  <c r="AT11" i="12" s="1"/>
  <c r="L10" i="12"/>
  <c r="H11" i="12"/>
  <c r="T10" i="12"/>
  <c r="AK10" i="12"/>
  <c r="AT10" i="12" s="1"/>
  <c r="D15" i="13"/>
  <c r="C18" i="13"/>
  <c r="AJ11" i="12"/>
  <c r="D14" i="13"/>
  <c r="D16" i="13"/>
  <c r="AJ20" i="12"/>
  <c r="E20" i="14" l="1"/>
  <c r="T18" i="14"/>
  <c r="H10" i="14"/>
  <c r="L9" i="14"/>
  <c r="AS18" i="14"/>
  <c r="AQ8" i="14"/>
  <c r="AV8" i="14" s="1"/>
  <c r="V8" i="14"/>
  <c r="AK8" i="14" s="1"/>
  <c r="AM8" i="14" s="1"/>
  <c r="AN8" i="14" s="1"/>
  <c r="Y22" i="9"/>
  <c r="AR22" i="9" s="1"/>
  <c r="AT22" i="9" s="1"/>
  <c r="AU22" i="9" s="1"/>
  <c r="AX22" i="9"/>
  <c r="BD22" i="9" s="1"/>
  <c r="B25" i="9"/>
  <c r="V24" i="9"/>
  <c r="AX10" i="12"/>
  <c r="AJ33" i="12"/>
  <c r="AK20" i="12"/>
  <c r="D18" i="13"/>
  <c r="C25" i="13"/>
  <c r="D25" i="13" s="1"/>
  <c r="L11" i="12"/>
  <c r="H12" i="12"/>
  <c r="AQ30" i="9"/>
  <c r="AZ30" i="9" s="1"/>
  <c r="B24" i="9"/>
  <c r="V23" i="9"/>
  <c r="L26" i="9"/>
  <c r="P25" i="9"/>
  <c r="I25" i="9"/>
  <c r="V25" i="9" s="1"/>
  <c r="C26" i="9"/>
  <c r="G26" i="9" s="1"/>
  <c r="B26" i="9"/>
  <c r="AL10" i="12"/>
  <c r="AN10" i="12" s="1"/>
  <c r="AO10" i="12" s="1"/>
  <c r="B12" i="12"/>
  <c r="E12" i="12" s="1"/>
  <c r="T11" i="12"/>
  <c r="Z17" i="10"/>
  <c r="W56" i="10"/>
  <c r="W57" i="10" s="1"/>
  <c r="V17" i="10"/>
  <c r="AC17" i="10" s="1"/>
  <c r="AD17" i="10" s="1"/>
  <c r="AQ9" i="14" l="1"/>
  <c r="AV9" i="14" s="1"/>
  <c r="V9" i="14"/>
  <c r="AK9" i="14" s="1"/>
  <c r="AM9" i="14" s="1"/>
  <c r="AN9" i="14" s="1"/>
  <c r="L10" i="14"/>
  <c r="H11" i="14"/>
  <c r="T20" i="14"/>
  <c r="B21" i="14"/>
  <c r="E21" i="14" s="1"/>
  <c r="AB17" i="10"/>
  <c r="Z16" i="10"/>
  <c r="AA21" i="10"/>
  <c r="AA49" i="10" s="1"/>
  <c r="W11" i="12"/>
  <c r="AL11" i="12" s="1"/>
  <c r="AN11" i="12" s="1"/>
  <c r="AO11" i="12" s="1"/>
  <c r="AR11" i="12"/>
  <c r="AX11" i="12" s="1"/>
  <c r="C27" i="9"/>
  <c r="G27" i="9" s="1"/>
  <c r="I26" i="9"/>
  <c r="V26" i="9" s="1"/>
  <c r="B27" i="9"/>
  <c r="B13" i="12"/>
  <c r="E13" i="12" s="1"/>
  <c r="T12" i="12"/>
  <c r="P26" i="9"/>
  <c r="L27" i="9"/>
  <c r="H13" i="12"/>
  <c r="L12" i="12"/>
  <c r="AK33" i="12"/>
  <c r="AT20" i="12"/>
  <c r="AT33" i="12" s="1"/>
  <c r="Y23" i="9"/>
  <c r="AR23" i="9" s="1"/>
  <c r="AT23" i="9" s="1"/>
  <c r="AU23" i="9" s="1"/>
  <c r="AX23" i="9"/>
  <c r="BD23" i="9" s="1"/>
  <c r="H12" i="14" l="1"/>
  <c r="L11" i="14"/>
  <c r="AQ10" i="14"/>
  <c r="AV10" i="14" s="1"/>
  <c r="V10" i="14"/>
  <c r="AK10" i="14" s="1"/>
  <c r="AM10" i="14" s="1"/>
  <c r="AN10" i="14" s="1"/>
  <c r="B22" i="14"/>
  <c r="E22" i="14" s="1"/>
  <c r="T21" i="14"/>
  <c r="P27" i="9"/>
  <c r="L28" i="9"/>
  <c r="I27" i="9"/>
  <c r="V27" i="9" s="1"/>
  <c r="C28" i="9"/>
  <c r="G28" i="9" s="1"/>
  <c r="B28" i="9"/>
  <c r="W12" i="12"/>
  <c r="AL12" i="12" s="1"/>
  <c r="AN12" i="12" s="1"/>
  <c r="AO12" i="12" s="1"/>
  <c r="AR12" i="12"/>
  <c r="AX12" i="12" s="1"/>
  <c r="Z50" i="10"/>
  <c r="AB16" i="10" s="1"/>
  <c r="AB14" i="10" s="1"/>
  <c r="AB50" i="10"/>
  <c r="AA55" i="10"/>
  <c r="Y24" i="9"/>
  <c r="AR24" i="9" s="1"/>
  <c r="AT24" i="9" s="1"/>
  <c r="AU24" i="9" s="1"/>
  <c r="AX24" i="9"/>
  <c r="BD24" i="9" s="1"/>
  <c r="H14" i="12"/>
  <c r="L13" i="12"/>
  <c r="B14" i="12"/>
  <c r="E14" i="12" s="1"/>
  <c r="T13" i="12"/>
  <c r="AQ11" i="14" l="1"/>
  <c r="AV11" i="14" s="1"/>
  <c r="V11" i="14"/>
  <c r="AK11" i="14" s="1"/>
  <c r="AM11" i="14" s="1"/>
  <c r="AN11" i="14" s="1"/>
  <c r="T22" i="14"/>
  <c r="H13" i="14"/>
  <c r="L12" i="14"/>
  <c r="W13" i="12"/>
  <c r="AL13" i="12" s="1"/>
  <c r="AN13" i="12" s="1"/>
  <c r="AO13" i="12" s="1"/>
  <c r="AR13" i="12"/>
  <c r="AX13" i="12" s="1"/>
  <c r="C29" i="9"/>
  <c r="G29" i="9" s="1"/>
  <c r="B29" i="9"/>
  <c r="I28" i="9"/>
  <c r="V28" i="9" s="1"/>
  <c r="L29" i="9"/>
  <c r="P28" i="9"/>
  <c r="B15" i="12"/>
  <c r="E15" i="12" s="1"/>
  <c r="T14" i="12"/>
  <c r="H15" i="12"/>
  <c r="L14" i="12"/>
  <c r="Y25" i="9"/>
  <c r="AR25" i="9" s="1"/>
  <c r="AT25" i="9" s="1"/>
  <c r="AU25" i="9" s="1"/>
  <c r="AX25" i="9"/>
  <c r="BD25" i="9" s="1"/>
  <c r="AQ12" i="14" l="1"/>
  <c r="AV12" i="14" s="1"/>
  <c r="V12" i="14"/>
  <c r="AK12" i="14" s="1"/>
  <c r="AM12" i="14" s="1"/>
  <c r="AN12" i="14" s="1"/>
  <c r="H14" i="14"/>
  <c r="L13" i="14"/>
  <c r="AX26" i="9"/>
  <c r="BD26" i="9" s="1"/>
  <c r="Y26" i="9"/>
  <c r="AR26" i="9" s="1"/>
  <c r="AT26" i="9" s="1"/>
  <c r="AU26" i="9" s="1"/>
  <c r="H16" i="12"/>
  <c r="L15" i="12"/>
  <c r="B16" i="12"/>
  <c r="E16" i="12" s="1"/>
  <c r="T15" i="12"/>
  <c r="L30" i="9"/>
  <c r="P29" i="9"/>
  <c r="I29" i="9"/>
  <c r="V29" i="9" s="1"/>
  <c r="C30" i="9"/>
  <c r="G30" i="9" s="1"/>
  <c r="B30" i="9"/>
  <c r="W14" i="12"/>
  <c r="AL14" i="12" s="1"/>
  <c r="AN14" i="12" s="1"/>
  <c r="AO14" i="12" s="1"/>
  <c r="AR14" i="12"/>
  <c r="AX14" i="12" s="1"/>
  <c r="AQ13" i="14" l="1"/>
  <c r="AV13" i="14" s="1"/>
  <c r="V13" i="14"/>
  <c r="AK13" i="14" s="1"/>
  <c r="AM13" i="14" s="1"/>
  <c r="AN13" i="14" s="1"/>
  <c r="H15" i="14"/>
  <c r="L14" i="14"/>
  <c r="I30" i="9"/>
  <c r="V30" i="9" s="1"/>
  <c r="B31" i="9"/>
  <c r="C31" i="9"/>
  <c r="G31" i="9" s="1"/>
  <c r="Y27" i="9"/>
  <c r="AR27" i="9" s="1"/>
  <c r="AT27" i="9" s="1"/>
  <c r="AU27" i="9" s="1"/>
  <c r="AX27" i="9"/>
  <c r="BD27" i="9" s="1"/>
  <c r="W15" i="12"/>
  <c r="AL15" i="12" s="1"/>
  <c r="AN15" i="12" s="1"/>
  <c r="AO15" i="12" s="1"/>
  <c r="AR15" i="12"/>
  <c r="AX15" i="12" s="1"/>
  <c r="L31" i="9"/>
  <c r="P30" i="9"/>
  <c r="T16" i="12"/>
  <c r="B17" i="12"/>
  <c r="E17" i="12" s="1"/>
  <c r="H17" i="12"/>
  <c r="L16" i="12"/>
  <c r="AQ14" i="14" l="1"/>
  <c r="AV14" i="14" s="1"/>
  <c r="V14" i="14"/>
  <c r="AK14" i="14" s="1"/>
  <c r="AM14" i="14" s="1"/>
  <c r="AN14" i="14" s="1"/>
  <c r="L15" i="14"/>
  <c r="H16" i="14"/>
  <c r="L32" i="9"/>
  <c r="P32" i="9" s="1"/>
  <c r="P31" i="9"/>
  <c r="W16" i="12"/>
  <c r="AL16" i="12" s="1"/>
  <c r="AN16" i="12" s="1"/>
  <c r="AO16" i="12" s="1"/>
  <c r="AR16" i="12"/>
  <c r="AX16" i="12" s="1"/>
  <c r="Y28" i="9"/>
  <c r="AR28" i="9" s="1"/>
  <c r="AT28" i="9" s="1"/>
  <c r="AU28" i="9" s="1"/>
  <c r="AX28" i="9"/>
  <c r="BD28" i="9" s="1"/>
  <c r="H18" i="12"/>
  <c r="L17" i="12"/>
  <c r="T17" i="12"/>
  <c r="B18" i="12"/>
  <c r="E18" i="12" s="1"/>
  <c r="C32" i="9"/>
  <c r="G32" i="9" s="1"/>
  <c r="I32" i="9" s="1"/>
  <c r="V32" i="9" s="1"/>
  <c r="I31" i="9"/>
  <c r="V31" i="9" s="1"/>
  <c r="B32" i="9"/>
  <c r="AQ15" i="14" l="1"/>
  <c r="AV15" i="14" s="1"/>
  <c r="V15" i="14"/>
  <c r="AK15" i="14" s="1"/>
  <c r="AM15" i="14" s="1"/>
  <c r="AN15" i="14" s="1"/>
  <c r="H17" i="14"/>
  <c r="L16" i="14"/>
  <c r="B19" i="12"/>
  <c r="E19" i="12" s="1"/>
  <c r="T18" i="12"/>
  <c r="H19" i="12"/>
  <c r="L18" i="12"/>
  <c r="AX29" i="9"/>
  <c r="BD29" i="9" s="1"/>
  <c r="Y29" i="9"/>
  <c r="AR29" i="9" s="1"/>
  <c r="AT29" i="9" s="1"/>
  <c r="AU29" i="9" s="1"/>
  <c r="AR17" i="12"/>
  <c r="AX17" i="12" s="1"/>
  <c r="W17" i="12"/>
  <c r="AL17" i="12" s="1"/>
  <c r="AN17" i="12" s="1"/>
  <c r="AO17" i="12" s="1"/>
  <c r="AQ16" i="14" l="1"/>
  <c r="AV16" i="14" s="1"/>
  <c r="V16" i="14"/>
  <c r="AK16" i="14" s="1"/>
  <c r="AM16" i="14" s="1"/>
  <c r="AN16" i="14" s="1"/>
  <c r="H18" i="14"/>
  <c r="H20" i="14" s="1"/>
  <c r="L17" i="14"/>
  <c r="AX30" i="9"/>
  <c r="BD30" i="9" s="1"/>
  <c r="Y30" i="9"/>
  <c r="AR30" i="9" s="1"/>
  <c r="AT30" i="9" s="1"/>
  <c r="AU30" i="9" s="1"/>
  <c r="AR18" i="12"/>
  <c r="AX18" i="12" s="1"/>
  <c r="W18" i="12"/>
  <c r="AL18" i="12" s="1"/>
  <c r="AN18" i="12" s="1"/>
  <c r="AO18" i="12" s="1"/>
  <c r="L19" i="12"/>
  <c r="H20" i="12"/>
  <c r="T19" i="12"/>
  <c r="B20" i="12"/>
  <c r="AQ17" i="14" l="1"/>
  <c r="AV17" i="14" s="1"/>
  <c r="V17" i="14"/>
  <c r="AK17" i="14" s="1"/>
  <c r="AM17" i="14" s="1"/>
  <c r="AN17" i="14" s="1"/>
  <c r="L18" i="14"/>
  <c r="AR19" i="12"/>
  <c r="AX19" i="12" s="1"/>
  <c r="W19" i="12"/>
  <c r="AL19" i="12" s="1"/>
  <c r="AN19" i="12" s="1"/>
  <c r="AO19" i="12" s="1"/>
  <c r="AX31" i="9"/>
  <c r="BD31" i="9" s="1"/>
  <c r="Y31" i="9"/>
  <c r="AR31" i="9" s="1"/>
  <c r="AT31" i="9" s="1"/>
  <c r="AU31" i="9" s="1"/>
  <c r="B33" i="12"/>
  <c r="E20" i="12"/>
  <c r="H33" i="12"/>
  <c r="H35" i="12" s="1"/>
  <c r="L20" i="12"/>
  <c r="L33" i="12" s="1"/>
  <c r="AQ18" i="14" l="1"/>
  <c r="V18" i="14"/>
  <c r="H21" i="14"/>
  <c r="L20" i="14"/>
  <c r="AX32" i="9"/>
  <c r="BD32" i="9" s="1"/>
  <c r="Y32" i="9"/>
  <c r="AR32" i="9" s="1"/>
  <c r="AT32" i="9" s="1"/>
  <c r="AU32" i="9" s="1"/>
  <c r="Y33" i="9" s="1"/>
  <c r="AR20" i="12"/>
  <c r="W20" i="12"/>
  <c r="E33" i="12"/>
  <c r="B35" i="12" s="1"/>
  <c r="E35" i="12" s="1"/>
  <c r="T20" i="12"/>
  <c r="T33" i="12" s="1"/>
  <c r="H36" i="12"/>
  <c r="L35" i="12"/>
  <c r="AK18" i="14" l="1"/>
  <c r="H22" i="14"/>
  <c r="L21" i="14"/>
  <c r="AV18" i="14"/>
  <c r="W33" i="12"/>
  <c r="AL20" i="12"/>
  <c r="H37" i="12"/>
  <c r="L36" i="12"/>
  <c r="B36" i="12"/>
  <c r="E36" i="12" s="1"/>
  <c r="T35" i="12"/>
  <c r="AR33" i="12"/>
  <c r="AX20" i="12"/>
  <c r="AX33" i="12" s="1"/>
  <c r="AM18" i="14" l="1"/>
  <c r="L22" i="14"/>
  <c r="AL33" i="12"/>
  <c r="AN20" i="12"/>
  <c r="B37" i="12"/>
  <c r="E37" i="12" s="1"/>
  <c r="T36" i="12"/>
  <c r="H38" i="12"/>
  <c r="L37" i="12"/>
  <c r="AN18" i="14" l="1"/>
  <c r="AN33" i="12"/>
  <c r="AO20" i="12"/>
  <c r="AO33" i="12" s="1"/>
  <c r="H39" i="12"/>
  <c r="L38" i="12"/>
  <c r="B38" i="12"/>
  <c r="E38" i="12" s="1"/>
  <c r="T37" i="12"/>
  <c r="AQ20" i="14" l="1"/>
  <c r="V20" i="14"/>
  <c r="AV20" i="14"/>
  <c r="AK20" i="14"/>
  <c r="AM20" i="14" s="1"/>
  <c r="AN20" i="14" s="1"/>
  <c r="W35" i="12"/>
  <c r="AL35" i="12" s="1"/>
  <c r="AN35" i="12" s="1"/>
  <c r="AO35" i="12" s="1"/>
  <c r="AR35" i="12"/>
  <c r="AX35" i="12" s="1"/>
  <c r="B39" i="12"/>
  <c r="E39" i="12" s="1"/>
  <c r="T38" i="12"/>
  <c r="H40" i="12"/>
  <c r="L39" i="12"/>
  <c r="AQ21" i="14" l="1"/>
  <c r="AV21" i="14" s="1"/>
  <c r="V21" i="14"/>
  <c r="AK21" i="14" s="1"/>
  <c r="AM21" i="14" s="1"/>
  <c r="AN21" i="14" s="1"/>
  <c r="H41" i="12"/>
  <c r="L40" i="12"/>
  <c r="B40" i="12"/>
  <c r="E40" i="12" s="1"/>
  <c r="T39" i="12"/>
  <c r="W36" i="12"/>
  <c r="AL36" i="12" s="1"/>
  <c r="AN36" i="12" s="1"/>
  <c r="AO36" i="12" s="1"/>
  <c r="AR36" i="12"/>
  <c r="AX36" i="12" s="1"/>
  <c r="AQ22" i="14" l="1"/>
  <c r="AV22" i="14" s="1"/>
  <c r="V22" i="14"/>
  <c r="AK22" i="14" s="1"/>
  <c r="AM22" i="14" s="1"/>
  <c r="AN22" i="14" s="1"/>
  <c r="W37" i="12"/>
  <c r="AL37" i="12" s="1"/>
  <c r="AN37" i="12" s="1"/>
  <c r="AO37" i="12" s="1"/>
  <c r="AR37" i="12"/>
  <c r="AX37" i="12" s="1"/>
  <c r="B41" i="12"/>
  <c r="E41" i="12" s="1"/>
  <c r="T40" i="12"/>
  <c r="H42" i="12"/>
  <c r="L41" i="12"/>
  <c r="L42" i="12" l="1"/>
  <c r="H43" i="12"/>
  <c r="B42" i="12"/>
  <c r="E42" i="12" s="1"/>
  <c r="T41" i="12"/>
  <c r="W38" i="12"/>
  <c r="AL38" i="12" s="1"/>
  <c r="AN38" i="12" s="1"/>
  <c r="AO38" i="12" s="1"/>
  <c r="AR38" i="12"/>
  <c r="AX38" i="12" s="1"/>
  <c r="H44" i="12" l="1"/>
  <c r="L43" i="12"/>
  <c r="W39" i="12"/>
  <c r="AL39" i="12" s="1"/>
  <c r="AN39" i="12" s="1"/>
  <c r="AO39" i="12" s="1"/>
  <c r="AR39" i="12"/>
  <c r="AX39" i="12" s="1"/>
  <c r="B43" i="12"/>
  <c r="E43" i="12" s="1"/>
  <c r="T42" i="12"/>
  <c r="B44" i="12" l="1"/>
  <c r="E44" i="12" s="1"/>
  <c r="T43" i="12"/>
  <c r="W40" i="12"/>
  <c r="AL40" i="12" s="1"/>
  <c r="AN40" i="12" s="1"/>
  <c r="AO40" i="12" s="1"/>
  <c r="AR40" i="12"/>
  <c r="AX40" i="12" s="1"/>
  <c r="L44" i="12"/>
  <c r="H45" i="12"/>
  <c r="H46" i="12" l="1"/>
  <c r="L46" i="12" s="1"/>
  <c r="L45" i="12"/>
  <c r="W41" i="12"/>
  <c r="AL41" i="12" s="1"/>
  <c r="AN41" i="12" s="1"/>
  <c r="AO41" i="12" s="1"/>
  <c r="AR41" i="12"/>
  <c r="AX41" i="12" s="1"/>
  <c r="B45" i="12"/>
  <c r="E45" i="12" s="1"/>
  <c r="T44" i="12"/>
  <c r="B46" i="12" l="1"/>
  <c r="E46" i="12" s="1"/>
  <c r="T46" i="12" s="1"/>
  <c r="T45" i="12"/>
  <c r="W42" i="12"/>
  <c r="AL42" i="12" s="1"/>
  <c r="AN42" i="12" s="1"/>
  <c r="AO42" i="12" s="1"/>
  <c r="AR42" i="12"/>
  <c r="AX42" i="12" s="1"/>
  <c r="W43" i="12" l="1"/>
  <c r="AL43" i="12" s="1"/>
  <c r="AN43" i="12" s="1"/>
  <c r="AO43" i="12" s="1"/>
  <c r="AR43" i="12"/>
  <c r="AX43" i="12" s="1"/>
  <c r="W44" i="12" l="1"/>
  <c r="AL44" i="12" s="1"/>
  <c r="AN44" i="12" s="1"/>
  <c r="AO44" i="12" s="1"/>
  <c r="AR44" i="12"/>
  <c r="AX44" i="12" s="1"/>
  <c r="W45" i="12" l="1"/>
  <c r="AL45" i="12" s="1"/>
  <c r="AN45" i="12" s="1"/>
  <c r="AO45" i="12" s="1"/>
  <c r="AR45" i="12"/>
  <c r="AX45" i="12" s="1"/>
  <c r="AR46" i="12" l="1"/>
  <c r="AX46" i="12" s="1"/>
  <c r="W46" i="12"/>
  <c r="AL46" i="12" s="1"/>
  <c r="AN46" i="12" s="1"/>
  <c r="AO46" i="12" s="1"/>
</calcChain>
</file>

<file path=xl/sharedStrings.xml><?xml version="1.0" encoding="utf-8"?>
<sst xmlns="http://schemas.openxmlformats.org/spreadsheetml/2006/main" count="665" uniqueCount="213">
  <si>
    <t>Сальдо на начало</t>
  </si>
  <si>
    <t>Поступило от населения</t>
  </si>
  <si>
    <t>Задолженность за населением</t>
  </si>
  <si>
    <t>Задолженность по льготам</t>
  </si>
  <si>
    <t>Сальдо на конец</t>
  </si>
  <si>
    <t>Всего</t>
  </si>
  <si>
    <t>в т. Ч населения</t>
  </si>
  <si>
    <t>в т. Ч льготы</t>
  </si>
  <si>
    <t>Израсходовано</t>
  </si>
  <si>
    <t>Услуги по управлению многоквартирным домом</t>
  </si>
  <si>
    <t>Остаток средств по статье тек ремонт</t>
  </si>
  <si>
    <t>Израсходовано по ст тек. Рем</t>
  </si>
  <si>
    <t>Остаток ср-ств на тек ремс</t>
  </si>
  <si>
    <t>Остаток ср-ств на лицевом счете</t>
  </si>
  <si>
    <t>Фактическое состояние на лицевом счете</t>
  </si>
  <si>
    <t>Начислено населению                              (тек. Начис. МИВЦ)</t>
  </si>
  <si>
    <t>Уборка лестничных клеток</t>
  </si>
  <si>
    <t>Обслуживание мусоропроводов</t>
  </si>
  <si>
    <t>Уборка придомовой территории</t>
  </si>
  <si>
    <t>Тех. Обсл.внутридом. Инженер.Сетей,оборуд. И конструкт. Элементов</t>
  </si>
  <si>
    <t>Тех. Обсл.внутридом. Инженер.Сетей,оборуд. И конструкт. Элементов нежилых помещений</t>
  </si>
  <si>
    <t>Сальдо</t>
  </si>
  <si>
    <t>Поступление</t>
  </si>
  <si>
    <t>Остаток</t>
  </si>
  <si>
    <t>Начислено нежилым помещениям</t>
  </si>
  <si>
    <t>Поступило от неж. Помещ.</t>
  </si>
  <si>
    <t>Задолженность по неж. Помещ.</t>
  </si>
  <si>
    <t>Итоговое сальдо</t>
  </si>
  <si>
    <t>авг</t>
  </si>
  <si>
    <t>сен</t>
  </si>
  <si>
    <t>окт</t>
  </si>
  <si>
    <t>ноя</t>
  </si>
  <si>
    <t>дек</t>
  </si>
  <si>
    <t>янв</t>
  </si>
  <si>
    <t>фев</t>
  </si>
  <si>
    <t>мар</t>
  </si>
  <si>
    <t>апр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</si>
  <si>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</si>
  <si>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</si>
  <si>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</si>
  <si>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</si>
  <si>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</si>
  <si>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</si>
  <si>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</si>
  <si>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Согласовано:</t>
  </si>
  <si>
    <t>Утверждаю:</t>
  </si>
  <si>
    <t>Старший по дому № 23/1,ул. Новосибирская</t>
  </si>
  <si>
    <t>Директор ООО " Стройтрест-2П"</t>
  </si>
  <si>
    <t>Зацепин А.А.</t>
  </si>
  <si>
    <t>_____________________Попов В.М.</t>
  </si>
  <si>
    <t xml:space="preserve">(Протокол общего собрания от 21.08.2008)               </t>
  </si>
  <si>
    <t>Калькуляция себестоимости услуги по содержанию и ремонту жилого помещения по видам работ (Новосибирская,23/1)</t>
  </si>
  <si>
    <t>№№ п/п</t>
  </si>
  <si>
    <t>Наименование работ</t>
  </si>
  <si>
    <t>Единица измерения</t>
  </si>
  <si>
    <t>Уборочная площадь</t>
  </si>
  <si>
    <t>Тариф, руб</t>
  </si>
  <si>
    <t>Плановая стоимость,руб</t>
  </si>
  <si>
    <t>Площадь,кв.м</t>
  </si>
  <si>
    <t>Цена для граждан (с НДС),руб./кв.м</t>
  </si>
  <si>
    <t>Сумма, руб</t>
  </si>
  <si>
    <t>Сумма всего, руб</t>
  </si>
  <si>
    <t>Цена единицы услуги в месяц, руб.(без НДС)</t>
  </si>
  <si>
    <t>Цена 1 кв. м общ. Площ. ж/п, руб(без НДС)</t>
  </si>
  <si>
    <t>Кол-во ставок на доме        (площ. с прямого управ*норму)</t>
  </si>
  <si>
    <t>ФЗП с учетом ставки      (гр.6*тариф)</t>
  </si>
  <si>
    <t>ФЗП с начислениями        (гр.7*26,9%*8%)</t>
  </si>
  <si>
    <t>Тариф с учетом накладных     (гр.8*1,6*1,65)</t>
  </si>
  <si>
    <t>Ставка согл дог. ( %)</t>
  </si>
  <si>
    <t>Сумма, руб.</t>
  </si>
  <si>
    <t>на первых этажах</t>
  </si>
  <si>
    <t>на остальных этажах</t>
  </si>
  <si>
    <t>на последних этажах</t>
  </si>
  <si>
    <t>коэф. Индекс</t>
  </si>
  <si>
    <t>ЗП за 3 часа</t>
  </si>
  <si>
    <t>Зар плата за 8 часов</t>
  </si>
  <si>
    <t>Услуги по управлению многоквартирным домом по жилым помещениям</t>
  </si>
  <si>
    <t>руб</t>
  </si>
  <si>
    <t>Услуги по управлению многоквартирным домом по нежилым помещениям</t>
  </si>
  <si>
    <t>Содержание общего имущества многоквартирного дома</t>
  </si>
  <si>
    <t>кв. м</t>
  </si>
  <si>
    <t>квартира</t>
  </si>
  <si>
    <t>кв.м</t>
  </si>
  <si>
    <t xml:space="preserve">Техническое обслуживание </t>
  </si>
  <si>
    <t>внутридомовых инженерных сетей,</t>
  </si>
  <si>
    <t xml:space="preserve"> оборудования и конструктивных</t>
  </si>
  <si>
    <t>элементов</t>
  </si>
  <si>
    <t>элементов нежилых помещений</t>
  </si>
  <si>
    <t xml:space="preserve">ИП Рукина </t>
  </si>
  <si>
    <t>ГАСС</t>
  </si>
  <si>
    <t>Производственная база ЖКХ</t>
  </si>
  <si>
    <t>шт.</t>
  </si>
  <si>
    <t>МИВЦ</t>
  </si>
  <si>
    <t>Банк, почта</t>
  </si>
  <si>
    <t>2,1,1</t>
  </si>
  <si>
    <t>Паспортисты</t>
  </si>
  <si>
    <t>2,1,2</t>
  </si>
  <si>
    <t>Затраты на материалы</t>
  </si>
  <si>
    <t>2,1,3</t>
  </si>
  <si>
    <t>Юридические услуги</t>
  </si>
  <si>
    <t>Отчисления на текущий ремонт</t>
  </si>
  <si>
    <t>Итого</t>
  </si>
  <si>
    <t>НДС</t>
  </si>
  <si>
    <t>Всего с НДС</t>
  </si>
  <si>
    <t>справочно: кол-во квартир 96(лицевых счетов  97)</t>
  </si>
  <si>
    <t>Составил:</t>
  </si>
  <si>
    <t>экономист ООО "Стройтрест 2 П"</t>
  </si>
  <si>
    <t>Емельянова Е.И.</t>
  </si>
  <si>
    <t>Ремонт системы отопления</t>
  </si>
  <si>
    <t>Валка и опиловка деревьев</t>
  </si>
  <si>
    <t>Ремонт системы канализации</t>
  </si>
  <si>
    <t>Расчеты по денежным средствам населения  ул. Новосибирская, 23/1</t>
  </si>
  <si>
    <t>июн</t>
  </si>
  <si>
    <t>июл</t>
  </si>
  <si>
    <t>Ремонт системы ХВС</t>
  </si>
  <si>
    <t>Ремонт кровли (кв.45,61,96</t>
  </si>
  <si>
    <t>авг.в папке</t>
  </si>
  <si>
    <t>Остаток на начало месяца</t>
  </si>
  <si>
    <t>Поступило за месяц</t>
  </si>
  <si>
    <t>Израсходовано за месяц</t>
  </si>
  <si>
    <t>Остаток на конец месяца</t>
  </si>
  <si>
    <t>Текущее обслуживание</t>
  </si>
  <si>
    <t>Текущий ремонт</t>
  </si>
  <si>
    <t>Вид работы</t>
  </si>
  <si>
    <t>сумма</t>
  </si>
  <si>
    <t>(+)</t>
  </si>
  <si>
    <t>(-)</t>
  </si>
  <si>
    <t>январь</t>
  </si>
  <si>
    <t>Новосибирская23/1,</t>
  </si>
  <si>
    <t>февраль</t>
  </si>
  <si>
    <t>март</t>
  </si>
  <si>
    <t>апрель</t>
  </si>
  <si>
    <t>Ремонткровли (кв.79)</t>
  </si>
  <si>
    <t>декабрь</t>
  </si>
  <si>
    <t>Ремонт канализации</t>
  </si>
  <si>
    <t xml:space="preserve">Начислено от оказания услуг </t>
  </si>
  <si>
    <t>Поступило от оказания услуг</t>
  </si>
  <si>
    <t>Задолженность от оказания услуг</t>
  </si>
  <si>
    <t>Изготовл.и монтаж мет.двери в подв.</t>
  </si>
  <si>
    <t>Изготовл.и монтаж мет дв.в по</t>
  </si>
  <si>
    <t>Работы по текущему ремонту по адресу:</t>
  </si>
  <si>
    <t>ул. Новосибирская, 23/1</t>
  </si>
  <si>
    <t>Ремонт подъезда № 1</t>
  </si>
  <si>
    <t xml:space="preserve">Ремонт подъезда </t>
  </si>
  <si>
    <t xml:space="preserve">2012год </t>
  </si>
  <si>
    <t xml:space="preserve">2013год </t>
  </si>
  <si>
    <t>Коммунальные услуги</t>
  </si>
  <si>
    <t>2012г.</t>
  </si>
  <si>
    <t>апре</t>
  </si>
  <si>
    <t>Ремонт подъезда № 2,3,4</t>
  </si>
  <si>
    <t>авгус</t>
  </si>
  <si>
    <t>февр</t>
  </si>
  <si>
    <t>Расходование средств лицевого счета  ул. Новосибирская, 23/1</t>
  </si>
  <si>
    <t xml:space="preserve">Ремонт кровли </t>
  </si>
  <si>
    <t xml:space="preserve">сен </t>
  </si>
  <si>
    <t xml:space="preserve">Вывоз ТБО </t>
  </si>
  <si>
    <t>канализ сист,ХВС</t>
  </si>
  <si>
    <t xml:space="preserve">Ремонт канализ сист </t>
  </si>
  <si>
    <t xml:space="preserve">Ремонт системы ХВС </t>
  </si>
  <si>
    <t xml:space="preserve">РЦ </t>
  </si>
  <si>
    <t xml:space="preserve">Квадра </t>
  </si>
  <si>
    <t xml:space="preserve">Задолженность за населением на начало месяца </t>
  </si>
  <si>
    <t xml:space="preserve">Задолженность за населением на конец  месяца </t>
  </si>
  <si>
    <t xml:space="preserve">2014год </t>
  </si>
  <si>
    <t>Обслуж мусоропроводов</t>
  </si>
  <si>
    <t xml:space="preserve">ВДГО </t>
  </si>
  <si>
    <t>2013г.</t>
  </si>
  <si>
    <t xml:space="preserve">электромонтажные работы </t>
  </si>
  <si>
    <t>ИТОГО</t>
  </si>
  <si>
    <t xml:space="preserve">Начисление </t>
  </si>
  <si>
    <t>ремонт системы отопления</t>
  </si>
  <si>
    <t>изготовл.и могтаж мет.дв.</t>
  </si>
  <si>
    <t>СОГЛАСОВАНО:</t>
  </si>
  <si>
    <t>УТВЕРЖДАЮ:</t>
  </si>
  <si>
    <t>Старший по дому № 23/1, ул.Новосибирская</t>
  </si>
  <si>
    <t>Директор ООО "Стройтрест 2П"</t>
  </si>
  <si>
    <t>___________________________________</t>
  </si>
  <si>
    <t>______________ Канарейкин А.Д.</t>
  </si>
  <si>
    <t>Протокол общего собрания № ___ от ______</t>
  </si>
  <si>
    <t>Калькуляция по затратам на содержание и ремонт                                                                                                                                   общего имущества жилого многоквартирного дома</t>
  </si>
  <si>
    <t>ул. Новосибирская, № 23/1</t>
  </si>
  <si>
    <t xml:space="preserve">S (м2) = </t>
  </si>
  <si>
    <t>№ п/п</t>
  </si>
  <si>
    <t>Фактический расход денежных средств                             в месяц (руб)</t>
  </si>
  <si>
    <t>Тариф 1м2 обслужи-            ваемой S</t>
  </si>
  <si>
    <t>увеличение старого тарифа на 6,6% по письму №481 от 31.07.13г</t>
  </si>
  <si>
    <t>Плановые затраты</t>
  </si>
  <si>
    <r>
      <t xml:space="preserve">Уборка дворовой территории                                                                                     </t>
    </r>
    <r>
      <rPr>
        <sz val="10"/>
        <color indexed="8"/>
        <rFont val="Calibri"/>
        <family val="2"/>
        <charset val="204"/>
      </rPr>
      <t>(з/плата дворника с учётом ЕСН 30,9%)</t>
    </r>
  </si>
  <si>
    <r>
      <t xml:space="preserve">Уборка лестничных клеток                                                                      </t>
    </r>
    <r>
      <rPr>
        <sz val="10"/>
        <color indexed="8"/>
        <rFont val="Calibri"/>
        <family val="2"/>
        <charset val="204"/>
      </rPr>
      <t>(з/плата уборщицы с учётом ЕСН 30,9%)</t>
    </r>
  </si>
  <si>
    <r>
      <t xml:space="preserve">Уборка мусоропровода                                                                           </t>
    </r>
    <r>
      <rPr>
        <sz val="10"/>
        <color indexed="8"/>
        <rFont val="Calibri"/>
        <family val="2"/>
        <charset val="204"/>
      </rPr>
      <t>(з/плата уборщика мусоропровода с учётом ЕСН 30,9%)</t>
    </r>
  </si>
  <si>
    <r>
      <t xml:space="preserve">Техобслуживание внутридомовых инженерных сетей оборудования и конструктивных элементов                               </t>
    </r>
    <r>
      <rPr>
        <sz val="10"/>
        <color indexed="8"/>
        <rFont val="Calibri"/>
        <family val="2"/>
        <charset val="204"/>
      </rPr>
      <t>(з/плата монтажника, сварщика, электромонтёра, мастера с учётом ЕСН)</t>
    </r>
  </si>
  <si>
    <t xml:space="preserve">Материалы и общехоз.расходы                                                                                                                   </t>
  </si>
  <si>
    <t xml:space="preserve">Услуги по управлению                                                                                     </t>
  </si>
  <si>
    <t>Прочие затртаты, в т.ч.:</t>
  </si>
  <si>
    <t>-</t>
  </si>
  <si>
    <t>ГАСС  -  0,55 руб/м2</t>
  </si>
  <si>
    <t>услуги РЦ  (1,4% от общих поступлений)</t>
  </si>
  <si>
    <t>услуги Банка, почта (1,4% от общих поступлений)</t>
  </si>
  <si>
    <t>техобслуживание ВДГО (Воронежтехногазсервис)</t>
  </si>
  <si>
    <t>Отчисление на текущий ремонт</t>
  </si>
  <si>
    <t>Примечание:</t>
  </si>
  <si>
    <t>Затраты на дератизацию и дезинсекцию, обслуживание</t>
  </si>
  <si>
    <t>и ремонт дымоотводящих и вентиляционных систем (ООО Производственная база "ЖКХ")</t>
  </si>
  <si>
    <t>не показаны в калькуляции отдельной строкой, а включены в отчисления на текущий ремонт,</t>
  </si>
  <si>
    <t>поскольку данные виды работ выполняются по заявке жителей в УК и не имеют конкретного</t>
  </si>
  <si>
    <t>тарифа на 1м2 площади.</t>
  </si>
  <si>
    <t>Исполнитель: экономист ООО "Стройтрест 2П"</t>
  </si>
  <si>
    <t>Абрамова Н.В.</t>
  </si>
  <si>
    <t xml:space="preserve">2015год </t>
  </si>
  <si>
    <t>2014г.</t>
  </si>
  <si>
    <t>ТО ВДИС</t>
  </si>
  <si>
    <t xml:space="preserve">ТО ВДГО </t>
  </si>
  <si>
    <t>Услуги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</si>
</sst>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0.0"/>
    <numFmt numFmtId="165" formatCode="0.000"/>
    <numFmt numFmtId="166" formatCode="0.0000"/>
    <numFmt numFmtId="167" formatCode="_-* #,##0.000_р_._-;\-* #,##0.000_р_._-;_-* &quot;-&quot;??_р_._-;_-@_-"/>
    <numFmt numFmtId="168" formatCode="_-* #,##0.00_р_._-;\-* #,##0.00_р_._-;_-* &quot;-&quot;???_р_._-;_-@_-"/>
    <numFmt numFmtId="169" formatCode="_-* #,##0.0_р_._-;\-* #,##0.0_р_._-;_-* &quot;-&quot;???_р_._-;_-@_-"/>
    <numFmt numFmtId="170" formatCode="#,##0.00&quot;р.&quot;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b/>
      <u/>
      <sz val="9"/>
      <name val="Arial Cyr"/>
      <charset val="204"/>
    </font>
    <font>
      <b/>
      <sz val="12"/>
      <name val="Arial Cyr"/>
      <charset val="204"/>
    </font>
    <font>
      <sz val="9"/>
      <color indexed="10"/>
      <name val="Arial Cyr"/>
      <charset val="204"/>
    </font>
    <font>
      <b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0">
    <xf numFmtId="0" fontId="0" fillId="0" borderId="0" xfId="0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left" vertical="center" textRotation="90" wrapText="1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horizontal="left" textRotation="90" wrapText="1"/>
    </xf>
    <xf numFmtId="0" fontId="0" fillId="0" borderId="1" xfId="0" applyBorder="1" applyAlignment="1">
      <alignment textRotation="90"/>
    </xf>
    <xf numFmtId="0" fontId="0" fillId="0" borderId="0" xfId="0" applyAlignment="1">
      <alignment horizontal="right"/>
    </xf>
    <xf numFmtId="0" fontId="0" fillId="0" borderId="0" xfId="0" applyBorder="1"/>
    <xf numFmtId="2" fontId="0" fillId="0" borderId="0" xfId="0" applyNumberFormat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4" fillId="0" borderId="1" xfId="0" applyFont="1" applyBorder="1" applyAlignment="1">
      <alignment horizontal="center" vertical="center" textRotation="180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2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5" fontId="4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/>
    <xf numFmtId="164" fontId="4" fillId="0" borderId="1" xfId="2" applyNumberFormat="1" applyFont="1" applyBorder="1" applyAlignment="1">
      <alignment horizontal="center"/>
    </xf>
    <xf numFmtId="166" fontId="4" fillId="0" borderId="1" xfId="0" applyNumberFormat="1" applyFont="1" applyBorder="1"/>
    <xf numFmtId="2" fontId="4" fillId="3" borderId="1" xfId="0" applyNumberFormat="1" applyFont="1" applyFill="1" applyBorder="1"/>
    <xf numFmtId="164" fontId="4" fillId="0" borderId="1" xfId="0" applyNumberFormat="1" applyFont="1" applyBorder="1"/>
    <xf numFmtId="2" fontId="4" fillId="0" borderId="0" xfId="0" applyNumberFormat="1" applyFo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4" xfId="0" applyFont="1" applyBorder="1"/>
    <xf numFmtId="2" fontId="4" fillId="0" borderId="1" xfId="0" applyNumberFormat="1" applyFont="1" applyBorder="1" applyAlignment="1">
      <alignment horizontal="left"/>
    </xf>
    <xf numFmtId="2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0" fontId="4" fillId="0" borderId="1" xfId="0" applyNumberFormat="1" applyFont="1" applyBorder="1"/>
    <xf numFmtId="167" fontId="4" fillId="0" borderId="1" xfId="2" applyNumberFormat="1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168" fontId="4" fillId="0" borderId="4" xfId="0" applyNumberFormat="1" applyFont="1" applyBorder="1" applyAlignment="1">
      <alignment horizontal="left"/>
    </xf>
    <xf numFmtId="168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9" fontId="4" fillId="0" borderId="1" xfId="1" applyFont="1" applyBorder="1" applyAlignment="1">
      <alignment horizontal="left"/>
    </xf>
    <xf numFmtId="169" fontId="4" fillId="0" borderId="4" xfId="0" applyNumberFormat="1" applyFont="1" applyBorder="1"/>
    <xf numFmtId="169" fontId="4" fillId="0" borderId="1" xfId="0" applyNumberFormat="1" applyFont="1" applyBorder="1"/>
    <xf numFmtId="43" fontId="4" fillId="0" borderId="1" xfId="2" applyFont="1" applyBorder="1" applyAlignment="1">
      <alignment horizontal="left"/>
    </xf>
    <xf numFmtId="165" fontId="4" fillId="0" borderId="4" xfId="0" applyNumberFormat="1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4" xfId="0" applyNumberFormat="1" applyFont="1" applyBorder="1"/>
    <xf numFmtId="165" fontId="4" fillId="0" borderId="1" xfId="0" applyNumberFormat="1" applyFont="1" applyBorder="1"/>
    <xf numFmtId="2" fontId="2" fillId="0" borderId="1" xfId="0" applyNumberFormat="1" applyFont="1" applyBorder="1"/>
    <xf numFmtId="0" fontId="2" fillId="0" borderId="1" xfId="0" applyFont="1" applyBorder="1"/>
    <xf numFmtId="2" fontId="7" fillId="0" borderId="0" xfId="0" applyNumberFormat="1" applyFont="1"/>
    <xf numFmtId="0" fontId="0" fillId="4" borderId="1" xfId="0" applyFill="1" applyBorder="1"/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17" fontId="0" fillId="0" borderId="1" xfId="0" applyNumberFormat="1" applyBorder="1"/>
    <xf numFmtId="0" fontId="9" fillId="0" borderId="1" xfId="0" applyFont="1" applyBorder="1"/>
    <xf numFmtId="0" fontId="8" fillId="0" borderId="0" xfId="0" applyFont="1"/>
    <xf numFmtId="0" fontId="8" fillId="0" borderId="1" xfId="0" applyFont="1" applyBorder="1"/>
    <xf numFmtId="0" fontId="0" fillId="0" borderId="0" xfId="0" applyBorder="1" applyAlignment="1">
      <alignment horizontal="center" wrapText="1"/>
    </xf>
    <xf numFmtId="0" fontId="0" fillId="4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1" xfId="0" applyFont="1" applyBorder="1"/>
    <xf numFmtId="2" fontId="0" fillId="4" borderId="1" xfId="0" applyNumberForma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2" fontId="0" fillId="0" borderId="3" xfId="0" applyNumberFormat="1" applyBorder="1" applyAlignment="1">
      <alignment horizontal="center"/>
    </xf>
    <xf numFmtId="2" fontId="0" fillId="5" borderId="3" xfId="0" applyNumberFormat="1" applyFill="1" applyBorder="1" applyAlignment="1">
      <alignment horizontal="center"/>
    </xf>
    <xf numFmtId="2" fontId="0" fillId="6" borderId="1" xfId="0" applyNumberFormat="1" applyFill="1" applyBorder="1"/>
    <xf numFmtId="0" fontId="0" fillId="2" borderId="1" xfId="0" applyFill="1" applyBorder="1"/>
    <xf numFmtId="0" fontId="0" fillId="7" borderId="3" xfId="0" applyFill="1" applyBorder="1" applyAlignment="1">
      <alignment horizontal="center"/>
    </xf>
    <xf numFmtId="0" fontId="0" fillId="3" borderId="1" xfId="0" applyFill="1" applyBorder="1"/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8" borderId="0" xfId="0" applyFill="1" applyAlignment="1">
      <alignment horizontal="righ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8" borderId="2" xfId="0" applyNumberForma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1" xfId="0" applyFill="1" applyBorder="1"/>
    <xf numFmtId="2" fontId="0" fillId="8" borderId="1" xfId="0" applyNumberFormat="1" applyFill="1" applyBorder="1"/>
    <xf numFmtId="0" fontId="0" fillId="8" borderId="0" xfId="0" applyFill="1"/>
    <xf numFmtId="0" fontId="0" fillId="8" borderId="0" xfId="0" applyFill="1" applyAlignment="1">
      <alignment horizontal="left"/>
    </xf>
    <xf numFmtId="0" fontId="10" fillId="0" borderId="0" xfId="0" applyFont="1"/>
    <xf numFmtId="0" fontId="10" fillId="0" borderId="3" xfId="0" applyFont="1" applyBorder="1" applyAlignment="1">
      <alignment horizontal="center"/>
    </xf>
    <xf numFmtId="0" fontId="11" fillId="0" borderId="1" xfId="0" applyFont="1" applyBorder="1"/>
    <xf numFmtId="0" fontId="11" fillId="8" borderId="1" xfId="0" applyFont="1" applyFill="1" applyBorder="1"/>
    <xf numFmtId="0" fontId="11" fillId="0" borderId="3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center" wrapText="1"/>
    </xf>
    <xf numFmtId="0" fontId="8" fillId="8" borderId="0" xfId="0" applyFont="1" applyFill="1" applyBorder="1" applyAlignment="1">
      <alignment horizontal="center"/>
    </xf>
    <xf numFmtId="0" fontId="8" fillId="8" borderId="0" xfId="0" applyFont="1" applyFill="1" applyBorder="1"/>
    <xf numFmtId="0" fontId="0" fillId="8" borderId="0" xfId="0" applyFill="1" applyBorder="1" applyAlignment="1">
      <alignment horizontal="center"/>
    </xf>
    <xf numFmtId="2" fontId="0" fillId="8" borderId="0" xfId="0" applyNumberFormat="1" applyFill="1" applyBorder="1"/>
    <xf numFmtId="0" fontId="0" fillId="8" borderId="0" xfId="0" applyFill="1" applyBorder="1"/>
    <xf numFmtId="0" fontId="0" fillId="4" borderId="5" xfId="0" applyFill="1" applyBorder="1"/>
    <xf numFmtId="2" fontId="0" fillId="4" borderId="5" xfId="0" applyNumberFormat="1" applyFill="1" applyBorder="1"/>
    <xf numFmtId="2" fontId="8" fillId="0" borderId="0" xfId="0" applyNumberFormat="1" applyFont="1" applyBorder="1"/>
    <xf numFmtId="0" fontId="8" fillId="4" borderId="0" xfId="0" applyFont="1" applyFill="1" applyBorder="1"/>
    <xf numFmtId="0" fontId="0" fillId="0" borderId="1" xfId="0" applyFill="1" applyBorder="1"/>
    <xf numFmtId="2" fontId="0" fillId="0" borderId="1" xfId="0" applyNumberFormat="1" applyFill="1" applyBorder="1"/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3" xfId="0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/>
    <xf numFmtId="0" fontId="8" fillId="0" borderId="0" xfId="0" applyFont="1" applyFill="1" applyBorder="1"/>
    <xf numFmtId="0" fontId="0" fillId="0" borderId="3" xfId="0" applyFill="1" applyBorder="1"/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/>
    </xf>
    <xf numFmtId="2" fontId="0" fillId="0" borderId="3" xfId="0" applyNumberForma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/>
    <xf numFmtId="0" fontId="0" fillId="0" borderId="5" xfId="0" applyFill="1" applyBorder="1"/>
    <xf numFmtId="2" fontId="0" fillId="0" borderId="5" xfId="0" applyNumberFormat="1" applyFill="1" applyBorder="1"/>
    <xf numFmtId="0" fontId="0" fillId="9" borderId="0" xfId="0" applyFill="1" applyAlignment="1">
      <alignment horizontal="left"/>
    </xf>
    <xf numFmtId="2" fontId="0" fillId="9" borderId="3" xfId="0" applyNumberFormat="1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1" xfId="0" applyFill="1" applyBorder="1"/>
    <xf numFmtId="2" fontId="0" fillId="9" borderId="1" xfId="0" applyNumberFormat="1" applyFill="1" applyBorder="1"/>
    <xf numFmtId="0" fontId="0" fillId="9" borderId="1" xfId="0" applyFill="1" applyBorder="1" applyAlignment="1">
      <alignment horizontal="center"/>
    </xf>
    <xf numFmtId="0" fontId="0" fillId="9" borderId="0" xfId="0" applyFill="1" applyBorder="1"/>
    <xf numFmtId="0" fontId="0" fillId="9" borderId="0" xfId="0" applyFill="1"/>
    <xf numFmtId="2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13" fillId="0" borderId="1" xfId="0" applyFont="1" applyBorder="1" applyAlignment="1">
      <alignment horizontal="left" vertical="center" textRotation="90" wrapText="1"/>
    </xf>
    <xf numFmtId="0" fontId="13" fillId="0" borderId="1" xfId="0" applyFont="1" applyBorder="1" applyAlignment="1">
      <alignment horizontal="left" vertical="top" textRotation="90" wrapText="1"/>
    </xf>
    <xf numFmtId="0" fontId="14" fillId="0" borderId="1" xfId="0" applyFont="1" applyFill="1" applyBorder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/>
    <xf numFmtId="0" fontId="1" fillId="0" borderId="1" xfId="0" applyFont="1" applyFill="1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indent="1"/>
    </xf>
    <xf numFmtId="44" fontId="10" fillId="0" borderId="1" xfId="0" applyNumberFormat="1" applyFont="1" applyBorder="1" applyAlignment="1">
      <alignment horizontal="center" vertical="center" wrapText="1"/>
    </xf>
    <xf numFmtId="170" fontId="10" fillId="0" borderId="1" xfId="0" applyNumberFormat="1" applyFont="1" applyBorder="1" applyAlignment="1">
      <alignment horizontal="right" vertical="center" wrapText="1" indent="1"/>
    </xf>
    <xf numFmtId="0" fontId="16" fillId="0" borderId="1" xfId="0" applyFont="1" applyBorder="1" applyAlignment="1">
      <alignment horizontal="center" vertical="center" wrapText="1"/>
    </xf>
    <xf numFmtId="44" fontId="16" fillId="0" borderId="1" xfId="0" applyNumberFormat="1" applyFont="1" applyBorder="1" applyAlignment="1">
      <alignment horizontal="center" vertical="center" wrapText="1"/>
    </xf>
    <xf numFmtId="170" fontId="16" fillId="0" borderId="1" xfId="0" applyNumberFormat="1" applyFont="1" applyBorder="1" applyAlignment="1">
      <alignment horizontal="right" vertical="center" wrapText="1" indent="1"/>
    </xf>
    <xf numFmtId="0" fontId="17" fillId="0" borderId="1" xfId="0" applyFont="1" applyBorder="1" applyAlignment="1">
      <alignment horizontal="left" vertical="center" wrapText="1" indent="1"/>
    </xf>
    <xf numFmtId="44" fontId="0" fillId="0" borderId="1" xfId="0" applyNumberFormat="1" applyBorder="1" applyAlignment="1">
      <alignment horizontal="center" vertical="center" wrapText="1"/>
    </xf>
    <xf numFmtId="44" fontId="0" fillId="0" borderId="1" xfId="0" applyNumberFormat="1" applyBorder="1" applyAlignment="1">
      <alignment horizontal="right" vertical="center" wrapText="1" indent="1"/>
    </xf>
    <xf numFmtId="44" fontId="0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 indent="1"/>
    </xf>
    <xf numFmtId="44" fontId="0" fillId="0" borderId="5" xfId="0" applyNumberFormat="1" applyBorder="1" applyAlignment="1">
      <alignment horizontal="center" vertical="center" wrapText="1"/>
    </xf>
    <xf numFmtId="44" fontId="0" fillId="0" borderId="5" xfId="0" applyNumberFormat="1" applyBorder="1" applyAlignment="1">
      <alignment horizontal="right" vertical="center" wrapText="1" indent="1"/>
    </xf>
    <xf numFmtId="0" fontId="0" fillId="0" borderId="11" xfId="0" applyBorder="1" applyAlignment="1">
      <alignment horizontal="center" vertical="center"/>
    </xf>
    <xf numFmtId="0" fontId="17" fillId="0" borderId="11" xfId="0" applyFont="1" applyBorder="1" applyAlignment="1">
      <alignment horizontal="left" vertical="center" wrapText="1" indent="3"/>
    </xf>
    <xf numFmtId="44" fontId="0" fillId="0" borderId="11" xfId="0" applyNumberFormat="1" applyBorder="1" applyAlignment="1">
      <alignment horizontal="center" vertical="center" wrapText="1"/>
    </xf>
    <xf numFmtId="44" fontId="0" fillId="0" borderId="11" xfId="0" applyNumberFormat="1" applyBorder="1" applyAlignment="1">
      <alignment horizontal="right" vertical="center" wrapText="1" indent="1"/>
    </xf>
    <xf numFmtId="44" fontId="0" fillId="0" borderId="1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0" xfId="0" applyNumberFormat="1" applyAlignment="1">
      <alignment horizontal="center" vertical="center" wrapText="1"/>
    </xf>
    <xf numFmtId="4" fontId="0" fillId="0" borderId="1" xfId="0" applyNumberFormat="1" applyFill="1" applyBorder="1"/>
    <xf numFmtId="4" fontId="0" fillId="9" borderId="1" xfId="0" applyNumberFormat="1" applyFill="1" applyBorder="1"/>
    <xf numFmtId="4" fontId="0" fillId="9" borderId="0" xfId="0" applyNumberFormat="1" applyFill="1" applyAlignment="1">
      <alignment horizontal="left"/>
    </xf>
    <xf numFmtId="4" fontId="0" fillId="9" borderId="3" xfId="0" applyNumberFormat="1" applyFill="1" applyBorder="1" applyAlignment="1">
      <alignment horizontal="center"/>
    </xf>
    <xf numFmtId="4" fontId="0" fillId="9" borderId="0" xfId="0" applyNumberFormat="1" applyFont="1" applyFill="1" applyAlignment="1">
      <alignment horizontal="left"/>
    </xf>
    <xf numFmtId="4" fontId="0" fillId="9" borderId="1" xfId="0" applyNumberFormat="1" applyFill="1" applyBorder="1" applyAlignment="1">
      <alignment horizontal="center"/>
    </xf>
    <xf numFmtId="4" fontId="0" fillId="9" borderId="0" xfId="0" applyNumberFormat="1" applyFill="1" applyBorder="1"/>
    <xf numFmtId="4" fontId="0" fillId="9" borderId="0" xfId="0" applyNumberFormat="1" applyFill="1"/>
    <xf numFmtId="4" fontId="0" fillId="0" borderId="0" xfId="0" applyNumberFormat="1" applyFill="1" applyAlignment="1">
      <alignment horizontal="left"/>
    </xf>
    <xf numFmtId="4" fontId="0" fillId="0" borderId="3" xfId="0" applyNumberFormat="1" applyFill="1" applyBorder="1" applyAlignment="1">
      <alignment horizontal="center"/>
    </xf>
    <xf numFmtId="4" fontId="0" fillId="0" borderId="0" xfId="0" applyNumberFormat="1" applyFont="1" applyFill="1" applyAlignment="1">
      <alignment horizontal="left"/>
    </xf>
    <xf numFmtId="4" fontId="0" fillId="0" borderId="1" xfId="0" applyNumberFormat="1" applyFill="1" applyBorder="1" applyAlignment="1">
      <alignment horizontal="center"/>
    </xf>
    <xf numFmtId="4" fontId="0" fillId="0" borderId="0" xfId="0" applyNumberFormat="1" applyFill="1" applyBorder="1"/>
    <xf numFmtId="4" fontId="0" fillId="0" borderId="0" xfId="0" applyNumberFormat="1" applyFill="1"/>
    <xf numFmtId="4" fontId="0" fillId="0" borderId="10" xfId="0" applyNumberFormat="1" applyFill="1" applyBorder="1" applyAlignment="1">
      <alignment horizontal="center"/>
    </xf>
    <xf numFmtId="4" fontId="0" fillId="0" borderId="5" xfId="0" applyNumberFormat="1" applyFill="1" applyBorder="1"/>
    <xf numFmtId="4" fontId="0" fillId="0" borderId="1" xfId="0" applyNumberFormat="1" applyFont="1" applyFill="1" applyBorder="1" applyAlignment="1">
      <alignment horizontal="left"/>
    </xf>
    <xf numFmtId="4" fontId="14" fillId="0" borderId="1" xfId="0" applyNumberFormat="1" applyFont="1" applyFill="1" applyBorder="1"/>
    <xf numFmtId="4" fontId="0" fillId="0" borderId="1" xfId="0" applyNumberFormat="1" applyBorder="1"/>
    <xf numFmtId="4" fontId="0" fillId="0" borderId="0" xfId="0" applyNumberFormat="1"/>
    <xf numFmtId="4" fontId="0" fillId="0" borderId="5" xfId="0" applyNumberFormat="1" applyFont="1" applyFill="1" applyBorder="1" applyAlignment="1">
      <alignment horizontal="left"/>
    </xf>
    <xf numFmtId="4" fontId="0" fillId="3" borderId="1" xfId="0" applyNumberFormat="1" applyFill="1" applyBorder="1"/>
    <xf numFmtId="0" fontId="0" fillId="0" borderId="3" xfId="0" applyBorder="1" applyAlignment="1">
      <alignment horizontal="center"/>
    </xf>
    <xf numFmtId="0" fontId="0" fillId="9" borderId="0" xfId="0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2" fontId="0" fillId="8" borderId="3" xfId="0" applyNumberFormat="1" applyFill="1" applyBorder="1" applyAlignment="1">
      <alignment horizontal="center"/>
    </xf>
    <xf numFmtId="2" fontId="0" fillId="8" borderId="4" xfId="0" applyNumberFormat="1" applyFill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4" xfId="0" applyFont="1" applyBorder="1" applyAlignment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textRotation="180" wrapText="1"/>
    </xf>
    <xf numFmtId="0" fontId="4" fillId="0" borderId="9" xfId="0" applyFont="1" applyFill="1" applyBorder="1" applyAlignment="1">
      <alignment horizontal="center" vertical="center" textRotation="180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4" fillId="0" borderId="5" xfId="0" applyFont="1" applyBorder="1" applyAlignment="1">
      <alignment horizontal="center" vertical="center" textRotation="180" wrapText="1"/>
    </xf>
    <xf numFmtId="0" fontId="4" fillId="0" borderId="9" xfId="0" applyFont="1" applyBorder="1" applyAlignment="1">
      <alignment horizontal="center" vertical="center" textRotation="180" wrapText="1"/>
    </xf>
    <xf numFmtId="0" fontId="4" fillId="0" borderId="5" xfId="0" applyFont="1" applyBorder="1" applyAlignment="1">
      <alignment horizontal="center" vertical="center" textRotation="180"/>
    </xf>
    <xf numFmtId="0" fontId="4" fillId="0" borderId="9" xfId="0" applyFont="1" applyBorder="1" applyAlignment="1">
      <alignment horizontal="center" vertical="center" textRotation="180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" fontId="0" fillId="9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0" fontId="11" fillId="0" borderId="1" xfId="0" applyFont="1" applyBorder="1" applyAlignment="1">
      <alignment horizontal="left" vertical="center" textRotation="90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&#1056;&#1072;&#1073;&#1086;&#1095;&#1080;&#1081;%20&#1089;&#1090;&#1086;&#1083;/&#1050;&#1088;&#1102;&#1082;&#1086;&#1074;&#1072;%202015&#1075;/&#1050;&#1072;&#1083;&#1100;&#1082;&#1091;&#1083;&#1103;&#1094;&#1080;&#1080;/&#1050;&#1072;&#1083;&#1100;&#1082;&#1091;&#1083;&#1103;&#1094;&#1080;&#1080;%202013-2014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ит  к кальк декаб 2013"/>
      <sheetName val="Айвазовского 2"/>
      <sheetName val="айвазовск 2 с лифтом и мусором "/>
      <sheetName val="Айв 2"/>
      <sheetName val="Баррикадная 5"/>
      <sheetName val="лифт и уборка  Бар 5 "/>
      <sheetName val="Лист3"/>
      <sheetName val="Бар 5"/>
      <sheetName val="Усов  оконч"/>
      <sheetName val="Лист5"/>
      <sheetName val="Баррикадная 7"/>
      <sheetName val="бар 7 с мусоро"/>
      <sheetName val="бар.7,кальк.14,3"/>
      <sheetName val="Бар 7"/>
      <sheetName val="Баррикадная 13"/>
      <sheetName val="уборка и лифт "/>
      <sheetName val="Бар 13"/>
      <sheetName val="Баррикадная 21"/>
      <sheetName val="баррик 21вывоз мусора"/>
      <sheetName val="Бар 21"/>
      <sheetName val="Баррикадная 29а"/>
      <sheetName val="измен по проток"/>
      <sheetName val="бар 29 А с мусоро "/>
      <sheetName val="Бар 29а"/>
      <sheetName val="Баррикадная 31"/>
      <sheetName val="бар 31 с мусор "/>
      <sheetName val="Бар 31"/>
      <sheetName val="Баррикадная 33"/>
      <sheetName val="бар 33 мусор "/>
      <sheetName val="Бар 33"/>
      <sheetName val="Баррикадная 37"/>
      <sheetName val="бар 37 мусор "/>
      <sheetName val="Бар 37"/>
      <sheetName val="Баррикадная 38"/>
      <sheetName val="бар38 мусор "/>
      <sheetName val="Бар 38"/>
      <sheetName val="Баррикадная 38а"/>
      <sheetName val="бар 38 а  мусор "/>
      <sheetName val="Бар 38а"/>
      <sheetName val="Баррикадная 39"/>
      <sheetName val="бар 39 мусор "/>
      <sheetName val="Бар 39"/>
      <sheetName val="Волгоградская 49"/>
      <sheetName val="волг 49 мусор "/>
      <sheetName val="Волгогр 49"/>
      <sheetName val="Вол 49 (7)"/>
      <sheetName val="Волгоградская 51"/>
      <sheetName val="Волгогр 51"/>
      <sheetName val="волгогра 51(7,46) "/>
      <sheetName val="волг 51 мусор "/>
      <sheetName val="Волгодонская 21"/>
      <sheetName val="волгодонск 21 мусор "/>
      <sheetName val="Волгод 21"/>
      <sheetName val="Волгодонская 44"/>
      <sheetName val=" волгодонская 44 мусор "/>
      <sheetName val="Волгод 44"/>
      <sheetName val="Иркутская 3"/>
      <sheetName val="Иркут3"/>
      <sheetName val="ирк 3 с мусором "/>
      <sheetName val="Ирк 3"/>
      <sheetName val="Иркутская 5"/>
      <sheetName val="ирк 5   8,5"/>
      <sheetName val=" ирк 5 мусор "/>
      <sheetName val="Ирк 5"/>
      <sheetName val="Иркутская 9"/>
      <sheetName val="ирк 9 с мусор "/>
      <sheetName val="Ирк 9"/>
      <sheetName val="Иркутская 9а"/>
      <sheetName val="ирк 9 а  с мусором"/>
      <sheetName val="ирк 9 а    6,18"/>
      <sheetName val="Ирк 9а"/>
      <sheetName val="Иркутская 13"/>
      <sheetName val="ирк 13 с мусором "/>
      <sheetName val="Ирк 13"/>
      <sheetName val="Иркутская 15"/>
      <sheetName val="ирк 15 с мусор"/>
      <sheetName val="Ирк 15"/>
      <sheetName val="Иркутская 15а"/>
      <sheetName val="ирк 15 А  с мусором "/>
      <sheetName val="Ирк 15а"/>
      <sheetName val="Иркутская 17"/>
      <sheetName val="ирк 17 с мусор"/>
      <sheetName val="Ирк 17"/>
      <sheetName val="Иркутская 19"/>
      <sheetName val="ирк 19 6,03"/>
      <sheetName val="ирк 19(6,03) 2008года "/>
      <sheetName val="ирк 19 с мусором "/>
      <sheetName val="Ирк 19"/>
      <sheetName val="Иркутская 21"/>
      <sheetName val="ирк 21 с мус "/>
      <sheetName val="Ирк 21"/>
      <sheetName val="Иркутская 27"/>
      <sheetName val="ирк 27 с мусором "/>
      <sheetName val="Ирк 27"/>
      <sheetName val="Иркутская 68"/>
      <sheetName val="ирк 68 с мусор"/>
      <sheetName val="Ирк 68"/>
      <sheetName val="Иркутская 70"/>
      <sheetName val="ирк 70 мусор "/>
      <sheetName val="Ирк 70"/>
      <sheetName val="Костромская 8"/>
      <sheetName val="Костр 8"/>
      <sheetName val="костр 8 мусор "/>
      <sheetName val="Менделеева 4а"/>
      <sheetName val="менд 4 а мусор "/>
      <sheetName val="Менд 4а"/>
      <sheetName val="Менделеева 8а"/>
      <sheetName val="мен 8 А   6,67"/>
      <sheetName val="2008г"/>
      <sheetName val="Менд 8а"/>
      <sheetName val="менд 8 а  мусор "/>
      <sheetName val="Небольсина 5-1 смусор"/>
      <sheetName val="небол 5-1 "/>
      <sheetName val="Неб 5-1"/>
      <sheetName val="Небольсина 11"/>
      <sheetName val="неб 11 мусор "/>
      <sheetName val="Неб 11"/>
      <sheetName val="Новосибирская 19"/>
      <sheetName val="Нинон "/>
      <sheetName val="новос 19 мусор "/>
      <sheetName val="Новос 19"/>
      <sheetName val="Новосибирская 20"/>
      <sheetName val="новосиб 20 мусор "/>
      <sheetName val="Новос 20"/>
      <sheetName val="Новосибирская 23-1"/>
      <sheetName val="Новос 23-1"/>
      <sheetName val="новос 23.1 мусор "/>
      <sheetName val="новосиб 23  1 (7,11) "/>
      <sheetName val="Новосибирская 23-2"/>
      <sheetName val="новосиб 23.2 мусор "/>
      <sheetName val="Новос 23-2"/>
      <sheetName val="Новосибирская 24"/>
      <sheetName val="новосиб 24 мусор "/>
      <sheetName val="Новос 24"/>
      <sheetName val="Новосибирская 25-2"/>
      <sheetName val="новосиб 25,2 мусор "/>
      <sheetName val="Новос 25-2"/>
      <sheetName val="Новосибирская 26"/>
      <sheetName val="новосиб 26 мусор "/>
      <sheetName val="Новос 26"/>
      <sheetName val="Новосибирская 28"/>
      <sheetName val="новосиб 28 мусор "/>
      <sheetName val="Новос 28"/>
      <sheetName val="Новосибир 33 мусор "/>
      <sheetName val="новос    33 "/>
      <sheetName val="Новос 33"/>
      <sheetName val="Отличников 37"/>
      <sheetName val="Отл 37"/>
      <sheetName val="отл 37(6,75)"/>
      <sheetName val="тлич 37 мусор "/>
      <sheetName val="Лист7"/>
      <sheetName val="Отличников 39"/>
      <sheetName val="отл 39мусор "/>
      <sheetName val="Отл 39"/>
      <sheetName val="Отличников 41"/>
      <sheetName val="отл 41 мусор "/>
      <sheetName val="Отл 41"/>
      <sheetName val="Отличников 43"/>
      <sheetName val="отл 43 мусор "/>
      <sheetName val="Отл 43"/>
      <sheetName val="Отличников 45"/>
      <sheetName val="отл 45  мусор "/>
      <sheetName val="Отл 45"/>
      <sheetName val="Отличников 45а"/>
      <sheetName val="отл 45 А  мусор "/>
      <sheetName val="Отл 45а"/>
      <sheetName val="Писарева 1а"/>
      <sheetName val="пис 1а  6,6"/>
      <sheetName val="Писарева 1 А  мусор "/>
      <sheetName val="Пис 1а"/>
      <sheetName val="Писарева 3а"/>
      <sheetName val="писар 3 А  мусор "/>
      <sheetName val="Пис 3а"/>
      <sheetName val="Писарева 5а"/>
      <sheetName val="Пис 5 А  мусор "/>
      <sheetName val="Пис 5а"/>
      <sheetName val="Писарева 7а"/>
      <sheetName val="пис 7 А (6,0)"/>
      <sheetName val="пис 7А мусор "/>
      <sheetName val="Пис 7а"/>
      <sheetName val="Писарева 13а"/>
      <sheetName val="пис 13 А  мусор "/>
      <sheetName val="Пис 13а"/>
      <sheetName val="Писарева 17а"/>
      <sheetName val="пис 17 А  мусор "/>
      <sheetName val="Пис 17а"/>
      <sheetName val="Писарева 17б"/>
      <sheetName val="пис 17 Б  мусор "/>
      <sheetName val="Пис 17б"/>
      <sheetName val="Писарева 17в"/>
      <sheetName val="Писар 17 В  с мусор "/>
      <sheetName val="Пис 17в"/>
      <sheetName val="Писарева 19а"/>
      <sheetName val="пис 19 А мусор "/>
      <sheetName val="Пис 19а"/>
      <sheetName val="Ростовская 46-3"/>
      <sheetName val="46,3 (7,11)"/>
      <sheetName val="46,3 мусор "/>
      <sheetName val="Ростов 46-3"/>
      <sheetName val="Ростовская 50-5"/>
      <sheetName val="50,5 мусор "/>
      <sheetName val="Ростов 50-5"/>
      <sheetName val="Саврасова 2"/>
      <sheetName val="савр 2 мусор "/>
      <sheetName val="Савр 2"/>
      <sheetName val="Туполева 1"/>
      <sheetName val="туп1 мусор "/>
      <sheetName val="Туп 1"/>
      <sheetName val="Туполева 2а"/>
      <sheetName val="туп 2 А  мусор "/>
      <sheetName val="Туп 2а"/>
      <sheetName val="Туполева 3а"/>
      <sheetName val="туп 3 А  мусор "/>
      <sheetName val="Туп 3а"/>
      <sheetName val="Туполева 5"/>
      <sheetName val="туп 5 мусор "/>
      <sheetName val="Туп 5"/>
      <sheetName val="Туполева 8"/>
      <sheetName val="туп8 (7)"/>
      <sheetName val="туп 8  мусор"/>
      <sheetName val="Туп 8"/>
      <sheetName val="Туполева 9"/>
      <sheetName val="туп 9 мусор "/>
      <sheetName val="Туп 9"/>
      <sheetName val="туп 9 (7,81) "/>
      <sheetName val="Туполева 10"/>
      <sheetName val="Туп 10"/>
      <sheetName val="Туп10(7,41)"/>
      <sheetName val="туп 10 мусор "/>
      <sheetName val="Туполева 11"/>
      <sheetName val="туп 11 мусор "/>
      <sheetName val="Туп 11"/>
      <sheetName val="туп 11 (8,2) "/>
      <sheetName val="Туполева 11а"/>
      <sheetName val="Лист6"/>
      <sheetName val="Туп 11а"/>
      <sheetName val="туп 11а (7,81) "/>
      <sheetName val="туп 11 А  мусор "/>
      <sheetName val="Туполева 11б"/>
      <sheetName val="туп 11 Б мусор "/>
      <sheetName val="Туп 11б"/>
      <sheetName val="Туполева 12"/>
      <sheetName val="Туп 12"/>
      <sheetName val="туп 12 мусор "/>
      <sheetName val="туп 12(7,06)"/>
      <sheetName val="Лист8"/>
      <sheetName val="Туполева 13"/>
      <sheetName val="туп 13 мусор "/>
      <sheetName val="туп 13 (6,67)"/>
      <sheetName val="Туп 13"/>
      <sheetName val="Туполева 13б"/>
      <sheetName val="туп13 Б  (7)"/>
      <sheetName val="туп13 Б  мусор "/>
      <sheetName val="Туп 13б"/>
      <sheetName val="Туполева 15а"/>
      <sheetName val="туп 15 А мусор "/>
      <sheetName val="Туп 15а"/>
      <sheetName val="Туполева 15б"/>
      <sheetName val="туп 15 Б (7,33)"/>
      <sheetName val="туп 15 Б мусор "/>
      <sheetName val="Туп 15б"/>
      <sheetName val="Туполева 17"/>
      <sheetName val="туп 17 (7,33)"/>
      <sheetName val="туп 17 мусор "/>
      <sheetName val="Туп 17"/>
      <sheetName val="Туполева 19"/>
      <sheetName val="туп 19 мусор "/>
      <sheetName val="Туп 19"/>
      <sheetName val="Туполева 21"/>
      <sheetName val="туп 21 мусор "/>
      <sheetName val="Туп 21"/>
      <sheetName val="Туполева 22"/>
      <sheetName val="Туп 22 с уборкой "/>
      <sheetName val="Туп 22"/>
      <sheetName val="Туполева 25"/>
      <sheetName val="туп 25 мусор "/>
      <sheetName val="Туп 25"/>
      <sheetName val="Туполева 27"/>
      <sheetName val="туп 27 (7,33)"/>
      <sheetName val="Лист2"/>
      <sheetName val="туп 27 мусор "/>
      <sheetName val="Туп 27"/>
      <sheetName val="Туполева 28"/>
      <sheetName val="туп 28 мусор "/>
      <sheetName val="Туп 28"/>
      <sheetName val="Туполева 29"/>
      <sheetName val="туп 29 мусор "/>
      <sheetName val="Туп 29"/>
      <sheetName val="Туполева 29а"/>
      <sheetName val="туп 29 А мусор "/>
      <sheetName val="Туп 29а"/>
      <sheetName val="Туполева 31б"/>
      <sheetName val="туп 31 Б (7)"/>
      <sheetName val="туп 31 Б  мусор "/>
      <sheetName val="Туп 31б"/>
      <sheetName val="Туполева 33"/>
      <sheetName val="туп 33  мусор "/>
      <sheetName val="Туп 33"/>
      <sheetName val="Туполева 48"/>
      <sheetName val="туп 48 мусор"/>
      <sheetName val="Туп 48"/>
      <sheetName val="Цимлянская 4"/>
      <sheetName val="цим 4 мусор "/>
      <sheetName val="Цим 4"/>
      <sheetName val="Цимлянская 8"/>
      <sheetName val="Лист4"/>
      <sheetName val="Цим 8 (7,33) "/>
      <sheetName val="цим 8  мусор "/>
      <sheetName val="Лист1"/>
      <sheetName val="Цим 8"/>
      <sheetName val="Цимлянская 12"/>
      <sheetName val="Цим 12"/>
      <sheetName val="цим 12 мусор "/>
      <sheetName val="цим 12 (7,11)"/>
      <sheetName val="Циолковского 29"/>
      <sheetName val="циолк 29 мусор "/>
      <sheetName val="Циол 29"/>
      <sheetName val="Циолковского 31"/>
      <sheetName val="циолк 31 мусор "/>
      <sheetName val="Циол 31"/>
      <sheetName val="Циолковского 113-1"/>
      <sheetName val="циолк 113-1 мусор "/>
      <sheetName val="Циол 113-1"/>
      <sheetName val="Циолковского 113-2"/>
      <sheetName val="циолк 113-2 мусор "/>
      <sheetName val="Циол 113-2"/>
      <sheetName val="Циолковского 113-3"/>
      <sheetName val="циолк 113-3 (7)"/>
      <sheetName val="циолк 113-3 мусор "/>
      <sheetName val="Циол 113-3"/>
      <sheetName val="Циолковского 113-4"/>
      <sheetName val="циолк 113-4 (7)"/>
      <sheetName val="циолк 113-4 мусор "/>
      <sheetName val="Циол 113-4"/>
      <sheetName val="Циолковского 119"/>
      <sheetName val="циолк 119 мусор"/>
      <sheetName val="Циол 119"/>
      <sheetName val="Циолковского 121"/>
      <sheetName val="циолк 121 мусор "/>
      <sheetName val="Циол 121"/>
      <sheetName val="Ярославская 20"/>
      <sheetName val="ярос 20 мусор "/>
      <sheetName val="Яросл 20"/>
      <sheetName val="Ст.кальк."/>
      <sheetName val="ТО"/>
      <sheetName val="Свод"/>
      <sheetName val="ИТОГ 23.04"/>
      <sheetName val="Лист9"/>
      <sheetName val="Лист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>
        <row r="7">
          <cell r="M7">
            <v>4923.084932886657</v>
          </cell>
        </row>
        <row r="14">
          <cell r="M14">
            <v>1901.5660398125128</v>
          </cell>
        </row>
        <row r="17">
          <cell r="M17">
            <v>0</v>
          </cell>
        </row>
      </sheetData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66"/>
  <sheetViews>
    <sheetView topLeftCell="Z1" workbookViewId="0">
      <selection activeCell="AA29" sqref="AA29"/>
    </sheetView>
  </sheetViews>
  <sheetFormatPr defaultRowHeight="15" x14ac:dyDescent="0.25"/>
  <cols>
    <col min="1" max="1" width="4.85546875" customWidth="1"/>
    <col min="2" max="2" width="9.85546875" customWidth="1"/>
    <col min="5" max="5" width="11.140625" customWidth="1"/>
    <col min="6" max="6" width="10.85546875" customWidth="1"/>
    <col min="7" max="7" width="10.140625" customWidth="1"/>
    <col min="8" max="8" width="11.5703125" customWidth="1"/>
    <col min="9" max="9" width="10.42578125" customWidth="1"/>
    <col min="12" max="12" width="10.28515625" customWidth="1"/>
    <col min="13" max="13" width="7.140625" customWidth="1"/>
    <col min="14" max="14" width="6.85546875" customWidth="1"/>
    <col min="15" max="15" width="9.28515625" customWidth="1"/>
    <col min="16" max="16" width="9.5703125" bestFit="1" customWidth="1"/>
    <col min="17" max="17" width="6.85546875" customWidth="1"/>
    <col min="18" max="21" width="9.5703125" customWidth="1"/>
    <col min="22" max="22" width="10" customWidth="1"/>
    <col min="23" max="23" width="4.85546875" style="103" customWidth="1"/>
    <col min="24" max="24" width="5" customWidth="1"/>
    <col min="26" max="26" width="3.5703125" customWidth="1"/>
    <col min="31" max="31" width="5.7109375" customWidth="1"/>
    <col min="35" max="35" width="7.85546875" customWidth="1"/>
    <col min="36" max="36" width="10.5703125" customWidth="1"/>
    <col min="37" max="37" width="7.85546875" customWidth="1"/>
    <col min="44" max="44" width="12.140625" customWidth="1"/>
    <col min="45" max="45" width="9.7109375" customWidth="1"/>
    <col min="46" max="46" width="9.85546875" customWidth="1"/>
    <col min="47" max="47" width="11.140625" customWidth="1"/>
    <col min="48" max="48" width="4.85546875" customWidth="1"/>
    <col min="50" max="50" width="14.5703125" customWidth="1"/>
    <col min="51" max="51" width="10.85546875" customWidth="1"/>
    <col min="52" max="52" width="14.7109375" customWidth="1"/>
    <col min="53" max="53" width="25.42578125" customWidth="1"/>
    <col min="54" max="54" width="11.5703125" customWidth="1"/>
    <col min="55" max="55" width="10.5703125" customWidth="1"/>
    <col min="56" max="56" width="11.42578125" customWidth="1"/>
  </cols>
  <sheetData>
    <row r="1" spans="1:56" ht="15.75" x14ac:dyDescent="0.25">
      <c r="E1" s="105" t="s">
        <v>111</v>
      </c>
      <c r="F1" s="105"/>
      <c r="G1" s="105"/>
      <c r="H1" s="105"/>
      <c r="I1" s="105"/>
      <c r="AA1" s="105"/>
      <c r="AB1" s="105"/>
      <c r="AC1" s="105"/>
      <c r="AD1" s="105"/>
      <c r="AE1" s="105" t="s">
        <v>152</v>
      </c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Z1" s="74"/>
    </row>
    <row r="2" spans="1:56" ht="15" customHeight="1" x14ac:dyDescent="0.25">
      <c r="B2" s="229" t="s">
        <v>0</v>
      </c>
      <c r="C2" s="230"/>
      <c r="D2" s="231"/>
      <c r="E2" s="232" t="s">
        <v>15</v>
      </c>
      <c r="F2" s="232" t="s">
        <v>1</v>
      </c>
      <c r="G2" s="232" t="s">
        <v>2</v>
      </c>
      <c r="H2" s="232" t="s">
        <v>3</v>
      </c>
      <c r="I2" s="232" t="s">
        <v>4</v>
      </c>
      <c r="J2" s="232" t="s">
        <v>24</v>
      </c>
      <c r="K2" s="232" t="s">
        <v>25</v>
      </c>
      <c r="L2" s="232" t="s">
        <v>26</v>
      </c>
      <c r="M2" s="232" t="s">
        <v>135</v>
      </c>
      <c r="N2" s="232" t="s">
        <v>136</v>
      </c>
      <c r="O2" s="232" t="s">
        <v>137</v>
      </c>
      <c r="P2" s="232" t="s">
        <v>27</v>
      </c>
      <c r="Q2" s="76"/>
      <c r="R2" s="76"/>
      <c r="S2" s="76"/>
      <c r="T2" s="76"/>
      <c r="U2" s="76"/>
      <c r="Y2" s="257" t="s">
        <v>14</v>
      </c>
      <c r="Z2" s="258"/>
      <c r="AA2" s="268" t="s">
        <v>8</v>
      </c>
      <c r="AB2" s="269"/>
      <c r="AC2" s="269"/>
      <c r="AD2" s="269"/>
      <c r="AE2" s="269"/>
      <c r="AF2" s="269"/>
      <c r="AG2" s="269"/>
      <c r="AH2" s="269"/>
      <c r="AI2" s="269"/>
      <c r="AJ2" s="269"/>
      <c r="AK2" s="269"/>
      <c r="AL2" s="269"/>
      <c r="AM2" s="269"/>
      <c r="AN2" s="269"/>
      <c r="AO2" s="269"/>
      <c r="AP2" s="269"/>
      <c r="AQ2" s="270"/>
      <c r="AR2" s="266" t="s">
        <v>10</v>
      </c>
      <c r="AS2" s="266" t="s">
        <v>11</v>
      </c>
      <c r="AT2" s="266" t="s">
        <v>12</v>
      </c>
      <c r="AU2" s="266" t="s">
        <v>13</v>
      </c>
      <c r="BA2" s="74" t="s">
        <v>128</v>
      </c>
    </row>
    <row r="3" spans="1:56" ht="39.75" customHeight="1" x14ac:dyDescent="0.25">
      <c r="B3" s="13" t="s">
        <v>5</v>
      </c>
      <c r="C3" s="13" t="s">
        <v>6</v>
      </c>
      <c r="D3" s="12" t="s">
        <v>7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76"/>
      <c r="R3" s="236" t="s">
        <v>146</v>
      </c>
      <c r="S3" s="236"/>
      <c r="T3" s="236"/>
      <c r="U3" s="236"/>
      <c r="V3" s="236"/>
      <c r="W3" s="112"/>
      <c r="Y3" s="259"/>
      <c r="Z3" s="260"/>
      <c r="AA3" s="4" t="s">
        <v>9</v>
      </c>
      <c r="AB3" s="4" t="s">
        <v>155</v>
      </c>
      <c r="AC3" s="4" t="s">
        <v>9</v>
      </c>
      <c r="AD3" s="5" t="s">
        <v>16</v>
      </c>
      <c r="AE3" s="5" t="s">
        <v>17</v>
      </c>
      <c r="AF3" s="5" t="s">
        <v>18</v>
      </c>
      <c r="AG3" s="6" t="s">
        <v>19</v>
      </c>
      <c r="AH3" s="6" t="s">
        <v>20</v>
      </c>
      <c r="AI3" s="6" t="str">
        <f>кальк!B33</f>
        <v xml:space="preserve">ИП Рукина </v>
      </c>
      <c r="AJ3" s="6" t="str">
        <f>кальк!B35</f>
        <v>ГАСС</v>
      </c>
      <c r="AK3" s="6" t="str">
        <f>кальк!B37</f>
        <v>Производственная база ЖКХ</v>
      </c>
      <c r="AL3" s="6" t="str">
        <f>кальк!B40</f>
        <v>МИВЦ</v>
      </c>
      <c r="AM3" s="6" t="str">
        <f>кальк!B42</f>
        <v>Банк, почта</v>
      </c>
      <c r="AN3" s="6" t="str">
        <f>кальк!B44</f>
        <v>Паспортисты</v>
      </c>
      <c r="AO3" s="6" t="str">
        <f>кальк!B46</f>
        <v>Затраты на материалы</v>
      </c>
      <c r="AP3" s="6" t="str">
        <f>кальк!B48</f>
        <v>Юридические услуги</v>
      </c>
      <c r="AQ3" s="7" t="s">
        <v>5</v>
      </c>
      <c r="AR3" s="267"/>
      <c r="AS3" s="267"/>
      <c r="AT3" s="267"/>
      <c r="AU3" s="267"/>
      <c r="AW3" s="244" t="s">
        <v>147</v>
      </c>
      <c r="AX3" s="244" t="s">
        <v>117</v>
      </c>
      <c r="AY3" s="244" t="s">
        <v>118</v>
      </c>
      <c r="AZ3" s="254" t="s">
        <v>119</v>
      </c>
      <c r="BA3" s="256"/>
      <c r="BB3" s="255"/>
      <c r="BC3" s="247" t="s">
        <v>120</v>
      </c>
      <c r="BD3" s="248"/>
    </row>
    <row r="4" spans="1:56" ht="12.95" customHeight="1" x14ac:dyDescent="0.25">
      <c r="B4" s="15">
        <v>1</v>
      </c>
      <c r="C4" s="14">
        <f>B4+1</f>
        <v>2</v>
      </c>
      <c r="D4" s="14">
        <f t="shared" ref="D4:P4" si="0">C4+1</f>
        <v>3</v>
      </c>
      <c r="E4" s="14">
        <f t="shared" si="0"/>
        <v>4</v>
      </c>
      <c r="F4" s="14">
        <f t="shared" si="0"/>
        <v>5</v>
      </c>
      <c r="G4" s="14">
        <f t="shared" si="0"/>
        <v>6</v>
      </c>
      <c r="H4" s="14">
        <f t="shared" si="0"/>
        <v>7</v>
      </c>
      <c r="I4" s="14">
        <f t="shared" si="0"/>
        <v>8</v>
      </c>
      <c r="J4" s="14">
        <f t="shared" si="0"/>
        <v>9</v>
      </c>
      <c r="K4" s="14">
        <f t="shared" si="0"/>
        <v>10</v>
      </c>
      <c r="L4" s="14">
        <f t="shared" si="0"/>
        <v>11</v>
      </c>
      <c r="M4" s="14">
        <f t="shared" si="0"/>
        <v>12</v>
      </c>
      <c r="N4" s="14">
        <f t="shared" si="0"/>
        <v>13</v>
      </c>
      <c r="O4" s="14">
        <f t="shared" si="0"/>
        <v>14</v>
      </c>
      <c r="P4" s="14">
        <f t="shared" si="0"/>
        <v>15</v>
      </c>
      <c r="R4" s="234" t="s">
        <v>21</v>
      </c>
      <c r="S4" s="235"/>
      <c r="T4" s="234" t="s">
        <v>22</v>
      </c>
      <c r="U4" s="235"/>
      <c r="V4" s="75" t="s">
        <v>23</v>
      </c>
      <c r="W4" s="113"/>
      <c r="Y4" s="238">
        <v>1</v>
      </c>
      <c r="Z4" s="240"/>
      <c r="AA4" s="1">
        <f>Y4+1</f>
        <v>2</v>
      </c>
      <c r="AB4" s="1"/>
      <c r="AC4" s="1">
        <f>Z4+1</f>
        <v>1</v>
      </c>
      <c r="AD4" s="1">
        <f>AA4+1</f>
        <v>3</v>
      </c>
      <c r="AE4" s="1">
        <f t="shared" ref="AE4:AP4" si="1">AC4+1</f>
        <v>2</v>
      </c>
      <c r="AF4" s="1">
        <f t="shared" si="1"/>
        <v>4</v>
      </c>
      <c r="AG4" s="1">
        <f t="shared" si="1"/>
        <v>3</v>
      </c>
      <c r="AH4" s="1">
        <f t="shared" si="1"/>
        <v>5</v>
      </c>
      <c r="AI4" s="1">
        <f t="shared" si="1"/>
        <v>4</v>
      </c>
      <c r="AJ4" s="1">
        <f t="shared" si="1"/>
        <v>6</v>
      </c>
      <c r="AK4" s="1">
        <f t="shared" si="1"/>
        <v>5</v>
      </c>
      <c r="AL4" s="1">
        <f t="shared" si="1"/>
        <v>7</v>
      </c>
      <c r="AM4" s="1">
        <f t="shared" si="1"/>
        <v>6</v>
      </c>
      <c r="AN4" s="1">
        <f t="shared" si="1"/>
        <v>8</v>
      </c>
      <c r="AO4" s="1">
        <f t="shared" si="1"/>
        <v>7</v>
      </c>
      <c r="AP4" s="1">
        <f t="shared" si="1"/>
        <v>9</v>
      </c>
      <c r="AQ4" s="1">
        <f>AP4+1</f>
        <v>10</v>
      </c>
      <c r="AR4" s="1">
        <f>AQ4+1</f>
        <v>11</v>
      </c>
      <c r="AS4" s="1">
        <f>AR4+1</f>
        <v>12</v>
      </c>
      <c r="AT4" s="1">
        <f>AS4+1</f>
        <v>13</v>
      </c>
      <c r="AU4" s="1">
        <f>AT4+1</f>
        <v>14</v>
      </c>
      <c r="AW4" s="245"/>
      <c r="AX4" s="245"/>
      <c r="AY4" s="245"/>
      <c r="AZ4" s="251" t="s">
        <v>121</v>
      </c>
      <c r="BA4" s="254" t="s">
        <v>122</v>
      </c>
      <c r="BB4" s="255"/>
      <c r="BC4" s="249"/>
      <c r="BD4" s="250"/>
    </row>
    <row r="5" spans="1:56" ht="12.95" customHeight="1" x14ac:dyDescent="0.25">
      <c r="B5" s="15"/>
      <c r="C5" s="14"/>
      <c r="D5" s="94"/>
      <c r="E5" s="15"/>
      <c r="F5" s="15"/>
      <c r="G5" s="15"/>
      <c r="H5" s="15"/>
      <c r="I5" s="15"/>
      <c r="J5" s="14"/>
      <c r="K5" s="14"/>
      <c r="L5" s="14"/>
      <c r="M5" s="14"/>
      <c r="N5" s="14"/>
      <c r="O5" s="14"/>
      <c r="P5" s="14"/>
      <c r="R5" s="129" t="s">
        <v>159</v>
      </c>
      <c r="S5" s="130" t="s">
        <v>160</v>
      </c>
      <c r="T5" s="129" t="s">
        <v>159</v>
      </c>
      <c r="U5" s="130" t="s">
        <v>160</v>
      </c>
      <c r="V5" s="75"/>
      <c r="W5" s="113"/>
      <c r="Y5" s="15"/>
      <c r="Z5" s="95"/>
      <c r="AA5" s="1"/>
      <c r="AB5" s="1"/>
      <c r="AC5" s="1"/>
      <c r="AD5" s="1"/>
      <c r="AE5" s="1"/>
      <c r="AF5" s="1"/>
      <c r="AG5" s="1"/>
      <c r="AH5" s="1"/>
      <c r="AI5" s="1"/>
      <c r="AJ5" s="13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W5" s="245"/>
      <c r="AX5" s="245"/>
      <c r="AY5" s="245"/>
      <c r="AZ5" s="252"/>
      <c r="BA5" s="127"/>
      <c r="BB5" s="128"/>
      <c r="BC5" s="125"/>
      <c r="BD5" s="126"/>
    </row>
    <row r="6" spans="1:56" ht="19.5" customHeight="1" x14ac:dyDescent="0.25">
      <c r="B6" s="15"/>
      <c r="C6" s="14"/>
      <c r="D6" s="94"/>
      <c r="E6" s="15"/>
      <c r="F6" s="15"/>
      <c r="G6" s="15"/>
      <c r="H6" s="15"/>
      <c r="I6" s="106" t="s">
        <v>144</v>
      </c>
      <c r="J6" s="1"/>
      <c r="K6" s="1"/>
      <c r="L6" s="1"/>
      <c r="M6" s="1"/>
      <c r="N6" s="1"/>
      <c r="O6" s="1"/>
      <c r="P6" s="1"/>
      <c r="R6" s="14"/>
      <c r="S6" s="14"/>
      <c r="T6" s="106" t="s">
        <v>144</v>
      </c>
      <c r="U6" s="14"/>
      <c r="V6" s="14"/>
      <c r="W6" s="114"/>
      <c r="Y6" s="15"/>
      <c r="Z6" s="95"/>
      <c r="AA6" s="1"/>
      <c r="AB6" s="1"/>
      <c r="AC6" s="1"/>
      <c r="AD6" s="1"/>
      <c r="AE6" s="1"/>
      <c r="AF6" s="1"/>
      <c r="AG6" s="1"/>
      <c r="AH6" s="1"/>
      <c r="AI6" s="1"/>
      <c r="AJ6" s="106" t="s">
        <v>144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W6" s="246"/>
      <c r="AX6" s="246"/>
      <c r="AY6" s="246"/>
      <c r="AZ6" s="253"/>
      <c r="BA6" s="82" t="s">
        <v>123</v>
      </c>
      <c r="BB6" s="82" t="s">
        <v>124</v>
      </c>
      <c r="BC6" s="82" t="s">
        <v>125</v>
      </c>
      <c r="BD6" s="82" t="s">
        <v>126</v>
      </c>
    </row>
    <row r="7" spans="1:56" s="103" customFormat="1" ht="12.95" customHeight="1" x14ac:dyDescent="0.25">
      <c r="A7" s="104" t="s">
        <v>127</v>
      </c>
      <c r="B7" s="97">
        <v>29086.418514699995</v>
      </c>
      <c r="C7" s="98">
        <v>26966.899999999994</v>
      </c>
      <c r="D7" s="99">
        <v>2119.5185146999997</v>
      </c>
      <c r="E7" s="100">
        <v>25821.58</v>
      </c>
      <c r="F7" s="100">
        <v>25485.829999999998</v>
      </c>
      <c r="G7" s="100">
        <v>27302.649999999998</v>
      </c>
      <c r="H7" s="97">
        <v>2119.5185146999997</v>
      </c>
      <c r="I7" s="97">
        <v>29422.168514699999</v>
      </c>
      <c r="J7" s="101">
        <v>17841.12</v>
      </c>
      <c r="K7" s="101"/>
      <c r="L7" s="101">
        <v>539666.81999999995</v>
      </c>
      <c r="M7" s="101">
        <v>500</v>
      </c>
      <c r="N7" s="101">
        <v>500</v>
      </c>
      <c r="O7" s="101">
        <v>0</v>
      </c>
      <c r="P7" s="102">
        <v>539666.81999999995</v>
      </c>
      <c r="Q7" s="93" t="s">
        <v>33</v>
      </c>
      <c r="R7" s="98">
        <v>188190.03</v>
      </c>
      <c r="S7" s="98">
        <v>111438.62</v>
      </c>
      <c r="T7" s="98">
        <v>68767.8</v>
      </c>
      <c r="U7" s="98">
        <v>51685.73</v>
      </c>
      <c r="V7" s="102">
        <v>149752.95148530003</v>
      </c>
      <c r="W7" s="115"/>
      <c r="X7" s="93" t="s">
        <v>33</v>
      </c>
      <c r="Y7" s="242">
        <v>-12061.410889155439</v>
      </c>
      <c r="Z7" s="243"/>
      <c r="AA7" s="101">
        <v>2065.73</v>
      </c>
      <c r="AB7" s="101"/>
      <c r="AC7" s="101">
        <v>835.62</v>
      </c>
      <c r="AD7" s="101">
        <v>1050.52</v>
      </c>
      <c r="AE7" s="101">
        <v>0</v>
      </c>
      <c r="AF7" s="101">
        <v>2967.34</v>
      </c>
      <c r="AG7" s="101">
        <v>2916.51</v>
      </c>
      <c r="AH7" s="101">
        <v>3821.78</v>
      </c>
      <c r="AI7" s="101"/>
      <c r="AJ7" s="101">
        <v>2284.04</v>
      </c>
      <c r="AK7" s="101"/>
      <c r="AL7" s="101">
        <v>1204.5353</v>
      </c>
      <c r="AM7" s="101">
        <v>1686.3494199999998</v>
      </c>
      <c r="AN7" s="101">
        <v>615.20510000000002</v>
      </c>
      <c r="AO7" s="101">
        <v>2548.5830000000001</v>
      </c>
      <c r="AP7" s="101">
        <v>1087.6400000000001</v>
      </c>
      <c r="AQ7" s="101">
        <v>23083.852819999996</v>
      </c>
      <c r="AR7" s="102">
        <v>-35145.263709155435</v>
      </c>
      <c r="AS7" s="101"/>
      <c r="AT7" s="102">
        <v>-35145.263709155435</v>
      </c>
      <c r="AU7" s="102">
        <v>-35145.263709155435</v>
      </c>
      <c r="AW7" s="101" t="s">
        <v>127</v>
      </c>
      <c r="AX7" s="102">
        <v>-38047.240889155437</v>
      </c>
      <c r="AY7" s="101">
        <f t="shared" ref="AY7:AY21" si="2">F7+K7+N7</f>
        <v>25985.829999999998</v>
      </c>
      <c r="AZ7" s="102">
        <f t="shared" ref="AZ7:AZ22" si="3">AQ7</f>
        <v>23083.852819999996</v>
      </c>
      <c r="BA7" s="101"/>
      <c r="BB7" s="101"/>
      <c r="BC7" s="102"/>
      <c r="BD7" s="102">
        <f t="shared" ref="BD7:BD21" si="4">AX7+AY7-AZ7-BB7</f>
        <v>-35145.263709155435</v>
      </c>
    </row>
    <row r="8" spans="1:56" ht="12.95" customHeight="1" x14ac:dyDescent="0.25">
      <c r="A8" s="92" t="s">
        <v>129</v>
      </c>
      <c r="B8" s="83">
        <v>29422.168514699999</v>
      </c>
      <c r="C8" s="14">
        <v>27302.649999999998</v>
      </c>
      <c r="D8" s="3">
        <v>2119.5185146999997</v>
      </c>
      <c r="E8" s="15">
        <v>25821.58</v>
      </c>
      <c r="F8" s="15">
        <v>36865.89</v>
      </c>
      <c r="G8" s="15">
        <v>16258.34</v>
      </c>
      <c r="H8" s="83">
        <v>2119.5185146999997</v>
      </c>
      <c r="I8" s="84">
        <v>18377.858514700001</v>
      </c>
      <c r="J8" s="1">
        <v>17841.12</v>
      </c>
      <c r="K8" s="88">
        <v>14072.58</v>
      </c>
      <c r="L8" s="1">
        <v>543435.36</v>
      </c>
      <c r="M8" s="1">
        <v>500</v>
      </c>
      <c r="N8" s="1">
        <v>500</v>
      </c>
      <c r="O8" s="1">
        <v>0</v>
      </c>
      <c r="P8" s="2">
        <v>543435.36</v>
      </c>
      <c r="Q8" s="8" t="s">
        <v>34</v>
      </c>
      <c r="R8" s="14">
        <v>201677.32</v>
      </c>
      <c r="S8" s="11">
        <v>112649.93</v>
      </c>
      <c r="T8" s="14">
        <v>128391.05</v>
      </c>
      <c r="U8" s="11">
        <v>70955.28</v>
      </c>
      <c r="V8" s="2">
        <v>96603.061485300015</v>
      </c>
      <c r="W8" s="115"/>
      <c r="X8" s="8" t="s">
        <v>34</v>
      </c>
      <c r="Y8" s="261">
        <v>16293.206290844564</v>
      </c>
      <c r="Z8" s="262"/>
      <c r="AA8" s="1">
        <v>2065.73</v>
      </c>
      <c r="AB8" s="1"/>
      <c r="AC8" s="1">
        <v>835.62</v>
      </c>
      <c r="AD8" s="1">
        <v>1050.52</v>
      </c>
      <c r="AE8" s="1">
        <v>0</v>
      </c>
      <c r="AF8" s="1">
        <v>2967.34</v>
      </c>
      <c r="AG8" s="1">
        <v>2916.51</v>
      </c>
      <c r="AH8" s="1">
        <v>3821.78</v>
      </c>
      <c r="AI8" s="1"/>
      <c r="AJ8" s="1">
        <v>2284.04</v>
      </c>
      <c r="AK8" s="1">
        <v>1542.19</v>
      </c>
      <c r="AL8" s="1">
        <v>1993.4633000000001</v>
      </c>
      <c r="AM8" s="1">
        <v>2790.8486199999998</v>
      </c>
      <c r="AN8" s="1">
        <v>616.20510000000002</v>
      </c>
      <c r="AO8" s="1">
        <v>5093.8470000000007</v>
      </c>
      <c r="AP8" s="1">
        <v>1087.6400000000001</v>
      </c>
      <c r="AQ8" s="1">
        <v>29065.73402</v>
      </c>
      <c r="AR8" s="2">
        <v>-12772.527729155436</v>
      </c>
      <c r="AS8" s="1"/>
      <c r="AT8" s="2">
        <v>-12772.527729155436</v>
      </c>
      <c r="AU8" s="2">
        <v>-12772.527729155436</v>
      </c>
      <c r="AW8" s="1" t="s">
        <v>129</v>
      </c>
      <c r="AX8" s="2">
        <f t="shared" ref="AX8:AX17" si="5">AU7</f>
        <v>-35145.263709155435</v>
      </c>
      <c r="AY8" s="101">
        <f t="shared" si="2"/>
        <v>51438.47</v>
      </c>
      <c r="AZ8" s="102">
        <f t="shared" si="3"/>
        <v>29065.73402</v>
      </c>
      <c r="BA8" s="1"/>
      <c r="BB8" s="1"/>
      <c r="BC8" s="2"/>
      <c r="BD8" s="102">
        <f t="shared" si="4"/>
        <v>-12772.527729155434</v>
      </c>
    </row>
    <row r="9" spans="1:56" ht="12.95" customHeight="1" x14ac:dyDescent="0.25">
      <c r="A9" s="92" t="s">
        <v>130</v>
      </c>
      <c r="B9" s="83">
        <v>18377.858514700001</v>
      </c>
      <c r="C9" s="14">
        <v>16258.34</v>
      </c>
      <c r="D9" s="3">
        <v>2119.5185146999997</v>
      </c>
      <c r="E9" s="15">
        <v>25821.58</v>
      </c>
      <c r="F9" s="15">
        <v>26508.629999999997</v>
      </c>
      <c r="G9" s="15">
        <v>15571.290000000005</v>
      </c>
      <c r="H9" s="83">
        <v>2119.5185146999997</v>
      </c>
      <c r="I9" s="84">
        <v>17690.808514700006</v>
      </c>
      <c r="J9" s="1">
        <v>17841.12</v>
      </c>
      <c r="K9" s="88"/>
      <c r="L9" s="1">
        <v>561276.48</v>
      </c>
      <c r="M9" s="1">
        <v>500</v>
      </c>
      <c r="N9" s="1">
        <v>500</v>
      </c>
      <c r="O9" s="1">
        <v>0</v>
      </c>
      <c r="P9" s="2">
        <v>561276.48</v>
      </c>
      <c r="Q9" s="8" t="s">
        <v>35</v>
      </c>
      <c r="R9" s="14">
        <v>160873.01999999999</v>
      </c>
      <c r="S9" s="11">
        <v>94591.69</v>
      </c>
      <c r="T9" s="14">
        <v>89882.02</v>
      </c>
      <c r="U9" s="11">
        <v>54173.21</v>
      </c>
      <c r="V9" s="2">
        <v>93718.671485300001</v>
      </c>
      <c r="W9" s="115"/>
      <c r="X9" s="8" t="s">
        <v>35</v>
      </c>
      <c r="Y9" s="261">
        <v>14236.102270844562</v>
      </c>
      <c r="Z9" s="262"/>
      <c r="AA9" s="1">
        <v>2065.73</v>
      </c>
      <c r="AB9" s="1"/>
      <c r="AC9" s="1">
        <v>835.62</v>
      </c>
      <c r="AD9" s="1">
        <v>1050.52</v>
      </c>
      <c r="AE9" s="1">
        <v>0</v>
      </c>
      <c r="AF9" s="1">
        <v>2967.34</v>
      </c>
      <c r="AG9" s="1">
        <v>2916.51</v>
      </c>
      <c r="AH9" s="1">
        <v>3821.78</v>
      </c>
      <c r="AI9" s="1"/>
      <c r="AJ9" s="1">
        <v>2284.04</v>
      </c>
      <c r="AK9" s="1"/>
      <c r="AL9" s="1">
        <v>1440.5523000000001</v>
      </c>
      <c r="AM9" s="1">
        <v>2016.77322</v>
      </c>
      <c r="AN9" s="1">
        <v>617.20510000000002</v>
      </c>
      <c r="AO9" s="1">
        <v>2650.8629999999998</v>
      </c>
      <c r="AP9" s="1">
        <v>1087.6400000000001</v>
      </c>
      <c r="AQ9" s="1">
        <v>23754.573619999999</v>
      </c>
      <c r="AR9" s="2">
        <v>-9518.4713491554376</v>
      </c>
      <c r="AS9" s="1"/>
      <c r="AT9" s="2">
        <v>-9518.4713491554376</v>
      </c>
      <c r="AU9" s="2">
        <v>-9518.4713491554376</v>
      </c>
      <c r="AW9" s="1" t="s">
        <v>130</v>
      </c>
      <c r="AX9" s="2">
        <f t="shared" si="5"/>
        <v>-12772.527729155436</v>
      </c>
      <c r="AY9" s="101">
        <f t="shared" si="2"/>
        <v>27008.629999999997</v>
      </c>
      <c r="AZ9" s="102">
        <f t="shared" si="3"/>
        <v>23754.573619999999</v>
      </c>
      <c r="BA9" s="1"/>
      <c r="BB9" s="1"/>
      <c r="BC9" s="2"/>
      <c r="BD9" s="102">
        <f t="shared" si="4"/>
        <v>-9518.4713491554376</v>
      </c>
    </row>
    <row r="10" spans="1:56" ht="12.95" customHeight="1" x14ac:dyDescent="0.25">
      <c r="A10" s="92" t="s">
        <v>131</v>
      </c>
      <c r="B10" s="83">
        <v>17690.808514700006</v>
      </c>
      <c r="C10" s="14">
        <v>15571.290000000005</v>
      </c>
      <c r="D10" s="3">
        <v>2119.5185146999997</v>
      </c>
      <c r="E10" s="15">
        <v>25821.58</v>
      </c>
      <c r="F10" s="15">
        <v>23039.23</v>
      </c>
      <c r="G10" s="87">
        <v>18353.640000000007</v>
      </c>
      <c r="H10" s="83">
        <v>2119.5185146999997</v>
      </c>
      <c r="I10" s="84">
        <v>20473.158514700008</v>
      </c>
      <c r="J10" s="1">
        <v>17841.12</v>
      </c>
      <c r="K10" s="88"/>
      <c r="L10" s="86">
        <v>579117.6</v>
      </c>
      <c r="M10" s="1">
        <v>500</v>
      </c>
      <c r="N10" s="1">
        <v>500</v>
      </c>
      <c r="O10" s="1">
        <v>0</v>
      </c>
      <c r="P10" s="2">
        <v>579117.6</v>
      </c>
      <c r="Q10" s="8" t="s">
        <v>36</v>
      </c>
      <c r="R10" s="14">
        <v>158156.42000000001</v>
      </c>
      <c r="S10" s="11">
        <v>93315.520000000004</v>
      </c>
      <c r="T10" s="14">
        <v>75933.3</v>
      </c>
      <c r="U10" s="11">
        <v>48345.67</v>
      </c>
      <c r="V10" s="85">
        <v>106719.81148530002</v>
      </c>
      <c r="W10" s="115"/>
      <c r="X10" s="8" t="s">
        <v>36</v>
      </c>
      <c r="Y10" s="261">
        <v>14020.758650844562</v>
      </c>
      <c r="Z10" s="262"/>
      <c r="AA10" s="1">
        <v>2065.73</v>
      </c>
      <c r="AB10" s="1"/>
      <c r="AC10" s="1">
        <v>835.62</v>
      </c>
      <c r="AD10" s="1">
        <v>1050.52</v>
      </c>
      <c r="AE10" s="1">
        <v>0</v>
      </c>
      <c r="AF10" s="1">
        <v>2967.34</v>
      </c>
      <c r="AG10" s="1">
        <v>2916.51</v>
      </c>
      <c r="AH10" s="1">
        <v>3821.78</v>
      </c>
      <c r="AI10" s="1"/>
      <c r="AJ10" s="1">
        <v>2284.04</v>
      </c>
      <c r="AK10" s="1"/>
      <c r="AL10" s="1">
        <v>1242.7897</v>
      </c>
      <c r="AM10" s="1">
        <v>1739.9055799999999</v>
      </c>
      <c r="AN10" s="1">
        <v>618.20510000000002</v>
      </c>
      <c r="AO10" s="1">
        <v>2303.9230000000002</v>
      </c>
      <c r="AP10" s="1">
        <v>1087.6400000000001</v>
      </c>
      <c r="AQ10" s="1">
        <v>22934.003379999998</v>
      </c>
      <c r="AR10" s="2">
        <v>-8913.2447291554363</v>
      </c>
      <c r="AS10" s="1"/>
      <c r="AT10" s="2">
        <v>-8913.2447291554363</v>
      </c>
      <c r="AU10" s="2">
        <v>-8913.2447291554363</v>
      </c>
      <c r="AW10" s="1" t="s">
        <v>131</v>
      </c>
      <c r="AX10" s="2">
        <f t="shared" si="5"/>
        <v>-9518.4713491554376</v>
      </c>
      <c r="AY10" s="101">
        <f t="shared" si="2"/>
        <v>23539.23</v>
      </c>
      <c r="AZ10" s="102">
        <f t="shared" si="3"/>
        <v>22934.003379999998</v>
      </c>
      <c r="BA10" s="1"/>
      <c r="BB10" s="1"/>
      <c r="BC10" s="2"/>
      <c r="BD10" s="102">
        <f t="shared" si="4"/>
        <v>-8913.2447291554363</v>
      </c>
    </row>
    <row r="11" spans="1:56" ht="12.95" customHeight="1" x14ac:dyDescent="0.25">
      <c r="A11" s="92" t="s">
        <v>37</v>
      </c>
      <c r="B11" s="83">
        <v>20473.158514700008</v>
      </c>
      <c r="C11" s="14">
        <v>18353.640000000007</v>
      </c>
      <c r="D11" s="3">
        <v>2119.5185146999997</v>
      </c>
      <c r="E11" s="15">
        <v>25821.58</v>
      </c>
      <c r="F11" s="15">
        <v>25894.959999999999</v>
      </c>
      <c r="G11" s="87">
        <v>18280.260000000009</v>
      </c>
      <c r="H11" s="83">
        <v>2119.5185146999997</v>
      </c>
      <c r="I11" s="84">
        <v>20399.77851470001</v>
      </c>
      <c r="J11" s="1">
        <v>17841.12</v>
      </c>
      <c r="K11" s="88">
        <v>13891.64</v>
      </c>
      <c r="L11" s="86">
        <v>583067.07999999996</v>
      </c>
      <c r="M11" s="1">
        <v>500</v>
      </c>
      <c r="N11" s="1">
        <v>500</v>
      </c>
      <c r="O11" s="1">
        <v>0</v>
      </c>
      <c r="P11" s="2">
        <v>583067.07999999996</v>
      </c>
      <c r="Q11" s="8" t="s">
        <v>37</v>
      </c>
      <c r="R11" s="14">
        <v>178045.42</v>
      </c>
      <c r="S11" s="11">
        <v>97866.94</v>
      </c>
      <c r="T11" s="14">
        <v>90748.86</v>
      </c>
      <c r="U11" s="11">
        <v>53340.9</v>
      </c>
      <c r="V11" s="85">
        <v>111422.8214853</v>
      </c>
      <c r="W11" s="115"/>
      <c r="X11" s="8" t="s">
        <v>37</v>
      </c>
      <c r="Y11" s="261">
        <v>31373.355270844564</v>
      </c>
      <c r="Z11" s="262"/>
      <c r="AA11" s="1">
        <v>2065.73</v>
      </c>
      <c r="AB11" s="1"/>
      <c r="AC11" s="1">
        <v>835.62</v>
      </c>
      <c r="AD11" s="1">
        <v>1050.52</v>
      </c>
      <c r="AE11" s="1">
        <v>0</v>
      </c>
      <c r="AF11" s="1">
        <v>2967.34</v>
      </c>
      <c r="AG11" s="1">
        <v>2916.51</v>
      </c>
      <c r="AH11" s="1">
        <v>3821.78</v>
      </c>
      <c r="AI11" s="1"/>
      <c r="AJ11" s="1">
        <v>2284.04</v>
      </c>
      <c r="AK11" s="1"/>
      <c r="AL11" s="1">
        <v>1440.8976</v>
      </c>
      <c r="AM11" s="1">
        <v>2017.2566399999998</v>
      </c>
      <c r="AN11" s="1">
        <v>619.20510000000002</v>
      </c>
      <c r="AO11" s="1">
        <v>3978.66</v>
      </c>
      <c r="AP11" s="1">
        <v>1087.6400000000001</v>
      </c>
      <c r="AQ11" s="1">
        <v>25085.199339999999</v>
      </c>
      <c r="AR11" s="2">
        <v>6288.1559308445649</v>
      </c>
      <c r="AS11" s="1"/>
      <c r="AT11" s="2">
        <v>6288.1559308445649</v>
      </c>
      <c r="AU11" s="2">
        <v>6288.1559308445649</v>
      </c>
      <c r="AW11" s="1" t="s">
        <v>37</v>
      </c>
      <c r="AX11" s="2">
        <f t="shared" si="5"/>
        <v>-8913.2447291554363</v>
      </c>
      <c r="AY11" s="101">
        <f t="shared" si="2"/>
        <v>40286.6</v>
      </c>
      <c r="AZ11" s="102">
        <f t="shared" si="3"/>
        <v>25085.199339999999</v>
      </c>
      <c r="BA11" s="1"/>
      <c r="BB11" s="1"/>
      <c r="BC11" s="2"/>
      <c r="BD11" s="102">
        <f t="shared" si="4"/>
        <v>6288.1559308445649</v>
      </c>
    </row>
    <row r="12" spans="1:56" ht="12.95" customHeight="1" x14ac:dyDescent="0.25">
      <c r="A12" s="92" t="s">
        <v>38</v>
      </c>
      <c r="B12" s="83">
        <v>20399.77851470001</v>
      </c>
      <c r="C12" s="14">
        <v>18280.260000000009</v>
      </c>
      <c r="D12" s="3">
        <v>2119.5185146999997</v>
      </c>
      <c r="E12" s="15">
        <v>25821.58</v>
      </c>
      <c r="F12" s="15">
        <v>26209.39</v>
      </c>
      <c r="G12" s="87">
        <v>17892.450000000012</v>
      </c>
      <c r="H12" s="83">
        <v>2119.5185146999997</v>
      </c>
      <c r="I12" s="84">
        <v>20011.968514700013</v>
      </c>
      <c r="J12" s="1">
        <v>17841.12</v>
      </c>
      <c r="K12" s="1">
        <v>7629.55</v>
      </c>
      <c r="L12" s="86">
        <v>593278.64999999991</v>
      </c>
      <c r="M12" s="1">
        <v>500</v>
      </c>
      <c r="N12" s="1">
        <v>500</v>
      </c>
      <c r="O12" s="1">
        <v>0</v>
      </c>
      <c r="P12" s="2">
        <v>593278.64999999991</v>
      </c>
      <c r="Q12" s="8" t="s">
        <v>112</v>
      </c>
      <c r="R12" s="14">
        <v>187502.99</v>
      </c>
      <c r="S12" s="11">
        <v>97423.03</v>
      </c>
      <c r="T12" s="14">
        <v>101654.18</v>
      </c>
      <c r="U12" s="11">
        <v>50768.57</v>
      </c>
      <c r="V12" s="85">
        <v>112491.30148530001</v>
      </c>
      <c r="W12" s="115"/>
      <c r="X12" s="8" t="s">
        <v>112</v>
      </c>
      <c r="Y12" s="261">
        <v>40627.095930844567</v>
      </c>
      <c r="Z12" s="262"/>
      <c r="AA12" s="1">
        <v>2065.73</v>
      </c>
      <c r="AB12" s="1"/>
      <c r="AC12" s="1">
        <v>835.62</v>
      </c>
      <c r="AD12" s="1">
        <v>1050.52</v>
      </c>
      <c r="AE12" s="1">
        <v>0</v>
      </c>
      <c r="AF12" s="1">
        <v>2967.34</v>
      </c>
      <c r="AG12" s="1">
        <v>2916.51</v>
      </c>
      <c r="AH12" s="1">
        <v>3821.78</v>
      </c>
      <c r="AI12" s="1"/>
      <c r="AJ12" s="1">
        <v>2284.04</v>
      </c>
      <c r="AK12" s="1"/>
      <c r="AL12" s="1">
        <v>1524.2275</v>
      </c>
      <c r="AM12" s="1">
        <v>2133.9184999999998</v>
      </c>
      <c r="AN12" s="1">
        <v>620.20510000000002</v>
      </c>
      <c r="AO12" s="1">
        <v>3383.8940000000002</v>
      </c>
      <c r="AP12" s="1">
        <v>1087.6400000000001</v>
      </c>
      <c r="AQ12" s="1">
        <v>24691.4251</v>
      </c>
      <c r="AR12" s="2">
        <v>15935.670830844567</v>
      </c>
      <c r="AS12" s="1"/>
      <c r="AT12" s="2">
        <v>15935.670830844567</v>
      </c>
      <c r="AU12" s="2">
        <v>15935.670830844567</v>
      </c>
      <c r="AW12" s="1" t="s">
        <v>38</v>
      </c>
      <c r="AX12" s="2">
        <f t="shared" si="5"/>
        <v>6288.1559308445649</v>
      </c>
      <c r="AY12" s="101">
        <f t="shared" si="2"/>
        <v>34338.94</v>
      </c>
      <c r="AZ12" s="102">
        <f t="shared" si="3"/>
        <v>24691.4251</v>
      </c>
      <c r="BA12" s="1"/>
      <c r="BB12" s="1"/>
      <c r="BC12" s="2"/>
      <c r="BD12" s="102">
        <f t="shared" si="4"/>
        <v>15935.670830844567</v>
      </c>
    </row>
    <row r="13" spans="1:56" ht="12.95" customHeight="1" x14ac:dyDescent="0.25">
      <c r="A13" s="92" t="s">
        <v>39</v>
      </c>
      <c r="B13" s="83">
        <v>20011.968514700013</v>
      </c>
      <c r="C13" s="14">
        <v>17892.450000000012</v>
      </c>
      <c r="D13" s="3">
        <v>2119.5185146999997</v>
      </c>
      <c r="E13" s="15">
        <v>25821.58</v>
      </c>
      <c r="F13" s="15">
        <v>26323.730000000003</v>
      </c>
      <c r="G13" s="87">
        <v>17390.30000000001</v>
      </c>
      <c r="H13" s="83">
        <v>2119.5185146999997</v>
      </c>
      <c r="I13" s="84">
        <v>19509.818514700011</v>
      </c>
      <c r="J13" s="1">
        <v>17842.12</v>
      </c>
      <c r="K13" s="1"/>
      <c r="L13" s="86">
        <v>611120.7699999999</v>
      </c>
      <c r="M13" s="1">
        <v>500</v>
      </c>
      <c r="N13" s="1">
        <v>500</v>
      </c>
      <c r="O13" s="1">
        <v>0</v>
      </c>
      <c r="P13" s="2">
        <v>611120.7699999999</v>
      </c>
      <c r="Q13" s="8" t="s">
        <v>113</v>
      </c>
      <c r="R13" s="14">
        <v>178301.9</v>
      </c>
      <c r="S13" s="11">
        <v>102725.29</v>
      </c>
      <c r="T13" s="14">
        <v>93229.63</v>
      </c>
      <c r="U13" s="11">
        <v>55771.41</v>
      </c>
      <c r="V13" s="85">
        <v>112516.33148529998</v>
      </c>
      <c r="W13" s="115"/>
      <c r="X13" s="8" t="s">
        <v>113</v>
      </c>
      <c r="Y13" s="261">
        <v>42759.40083084457</v>
      </c>
      <c r="Z13" s="262"/>
      <c r="AA13" s="1">
        <v>2065.73</v>
      </c>
      <c r="AB13" s="1"/>
      <c r="AC13" s="1">
        <v>835.62</v>
      </c>
      <c r="AD13" s="1">
        <v>1050.52</v>
      </c>
      <c r="AE13" s="1">
        <v>0</v>
      </c>
      <c r="AF13" s="1">
        <v>2967.34</v>
      </c>
      <c r="AG13" s="1">
        <v>2916.51</v>
      </c>
      <c r="AH13" s="1">
        <v>3821.78</v>
      </c>
      <c r="AI13" s="1"/>
      <c r="AJ13" s="1">
        <v>2284.04</v>
      </c>
      <c r="AK13" s="1"/>
      <c r="AL13" s="1">
        <v>1490.0104000000001</v>
      </c>
      <c r="AM13" s="1">
        <v>2086.0145600000001</v>
      </c>
      <c r="AN13" s="1">
        <v>621.20510000000002</v>
      </c>
      <c r="AO13" s="1">
        <v>2632.3730000000005</v>
      </c>
      <c r="AP13" s="1">
        <v>1087.6400000000001</v>
      </c>
      <c r="AQ13" s="1">
        <v>23858.783059999998</v>
      </c>
      <c r="AR13" s="2">
        <v>18900.617770844572</v>
      </c>
      <c r="AS13" s="1"/>
      <c r="AT13" s="2">
        <v>18900.617770844572</v>
      </c>
      <c r="AU13" s="2">
        <v>18900.617770844572</v>
      </c>
      <c r="AW13" s="1" t="s">
        <v>39</v>
      </c>
      <c r="AX13" s="2">
        <f t="shared" si="5"/>
        <v>15935.670830844567</v>
      </c>
      <c r="AY13" s="101">
        <f t="shared" si="2"/>
        <v>26823.730000000003</v>
      </c>
      <c r="AZ13" s="102">
        <f t="shared" si="3"/>
        <v>23858.783059999998</v>
      </c>
      <c r="BA13" s="1"/>
      <c r="BB13" s="1"/>
      <c r="BC13" s="2"/>
      <c r="BD13" s="102">
        <f t="shared" si="4"/>
        <v>18900.617770844572</v>
      </c>
    </row>
    <row r="14" spans="1:56" ht="12.95" customHeight="1" x14ac:dyDescent="0.25">
      <c r="A14" s="92" t="s">
        <v>40</v>
      </c>
      <c r="B14" s="83">
        <v>19509.818514700011</v>
      </c>
      <c r="C14" s="14">
        <v>17390.30000000001</v>
      </c>
      <c r="D14" s="3">
        <v>2119.5185146999997</v>
      </c>
      <c r="E14" s="15">
        <v>25821.58</v>
      </c>
      <c r="F14" s="15">
        <v>28009.77</v>
      </c>
      <c r="G14" s="87">
        <v>15202.110000000011</v>
      </c>
      <c r="H14" s="83">
        <v>2119.5185146999997</v>
      </c>
      <c r="I14" s="84">
        <v>17321.628514700013</v>
      </c>
      <c r="J14" s="1">
        <v>17843.12</v>
      </c>
      <c r="K14" s="1">
        <v>2946.42</v>
      </c>
      <c r="L14" s="86">
        <v>626017.46999999986</v>
      </c>
      <c r="M14" s="1">
        <v>500</v>
      </c>
      <c r="N14" s="1">
        <v>500</v>
      </c>
      <c r="O14" s="1">
        <v>0</v>
      </c>
      <c r="P14" s="2">
        <v>626017.46999999986</v>
      </c>
      <c r="Q14" s="8" t="s">
        <v>28</v>
      </c>
      <c r="R14" s="14">
        <v>178301.9</v>
      </c>
      <c r="S14" s="11">
        <v>103024.71</v>
      </c>
      <c r="T14" s="14">
        <v>93229.63</v>
      </c>
      <c r="U14" s="11">
        <v>55146.14</v>
      </c>
      <c r="V14" s="85">
        <v>115629.21148529995</v>
      </c>
      <c r="W14" s="115"/>
      <c r="X14" s="8" t="s">
        <v>28</v>
      </c>
      <c r="Y14" s="261">
        <v>50356.807770844571</v>
      </c>
      <c r="Z14" s="262"/>
      <c r="AA14" s="1">
        <v>2065.73</v>
      </c>
      <c r="AB14" s="1"/>
      <c r="AC14" s="1">
        <v>835.62</v>
      </c>
      <c r="AD14" s="1">
        <v>1050.52</v>
      </c>
      <c r="AE14" s="1">
        <v>0</v>
      </c>
      <c r="AF14" s="1">
        <v>2967.34</v>
      </c>
      <c r="AG14" s="1">
        <v>2916.51</v>
      </c>
      <c r="AH14" s="1">
        <v>3821.78</v>
      </c>
      <c r="AI14" s="1">
        <v>4171.2</v>
      </c>
      <c r="AJ14" s="1">
        <v>2284.04</v>
      </c>
      <c r="AK14" s="1"/>
      <c r="AL14" s="1">
        <v>1483.7577000000001</v>
      </c>
      <c r="AM14" s="1">
        <v>2077.2607800000001</v>
      </c>
      <c r="AN14" s="1">
        <v>622.20510000000002</v>
      </c>
      <c r="AO14" s="1">
        <v>3095.6190000000006</v>
      </c>
      <c r="AP14" s="1">
        <v>1087.6400000000001</v>
      </c>
      <c r="AQ14" s="1">
        <v>28479.222580000001</v>
      </c>
      <c r="AR14" s="2">
        <v>21877.585190844569</v>
      </c>
      <c r="AS14" s="1"/>
      <c r="AT14" s="2">
        <v>21877.585190844569</v>
      </c>
      <c r="AU14" s="2">
        <v>21877.585190844569</v>
      </c>
      <c r="AW14" s="1" t="s">
        <v>40</v>
      </c>
      <c r="AX14" s="2">
        <f t="shared" si="5"/>
        <v>18900.617770844572</v>
      </c>
      <c r="AY14" s="101">
        <f t="shared" si="2"/>
        <v>31456.190000000002</v>
      </c>
      <c r="AZ14" s="102">
        <f t="shared" si="3"/>
        <v>28479.222580000001</v>
      </c>
      <c r="BA14" s="1"/>
      <c r="BB14" s="1"/>
      <c r="BC14" s="2"/>
      <c r="BD14" s="102">
        <f t="shared" si="4"/>
        <v>21877.585190844577</v>
      </c>
    </row>
    <row r="15" spans="1:56" ht="12.95" customHeight="1" x14ac:dyDescent="0.25">
      <c r="A15" s="92" t="s">
        <v>41</v>
      </c>
      <c r="B15" s="83">
        <v>17321.628514700013</v>
      </c>
      <c r="C15" s="14">
        <v>15202.110000000011</v>
      </c>
      <c r="D15" s="3">
        <v>2119.5185146999997</v>
      </c>
      <c r="E15" s="15">
        <v>25822.92</v>
      </c>
      <c r="F15" s="15">
        <v>24861.07</v>
      </c>
      <c r="G15" s="87">
        <v>16163.96000000001</v>
      </c>
      <c r="H15" s="83">
        <v>2119.5185146999997</v>
      </c>
      <c r="I15" s="84">
        <v>18283.478514700011</v>
      </c>
      <c r="J15" s="1">
        <v>17844.12</v>
      </c>
      <c r="K15" s="1">
        <v>6546.29</v>
      </c>
      <c r="L15" s="86">
        <v>637315.29999999981</v>
      </c>
      <c r="M15" s="1">
        <v>500</v>
      </c>
      <c r="N15" s="1">
        <v>500</v>
      </c>
      <c r="O15" s="1">
        <v>0</v>
      </c>
      <c r="P15" s="2">
        <v>637315.29999999981</v>
      </c>
      <c r="Q15" s="8" t="s">
        <v>29</v>
      </c>
      <c r="R15" s="14">
        <v>166348.63</v>
      </c>
      <c r="S15" s="11">
        <v>106640.42</v>
      </c>
      <c r="T15" s="14">
        <v>81247.98</v>
      </c>
      <c r="U15" s="11">
        <v>55374.1</v>
      </c>
      <c r="V15" s="85">
        <v>118083.49148529999</v>
      </c>
      <c r="W15" s="115"/>
      <c r="X15" s="8" t="s">
        <v>29</v>
      </c>
      <c r="Y15" s="261">
        <v>53784.94519084457</v>
      </c>
      <c r="Z15" s="262"/>
      <c r="AA15" s="1">
        <v>2065.73</v>
      </c>
      <c r="AB15" s="1"/>
      <c r="AC15" s="1">
        <v>835.62</v>
      </c>
      <c r="AD15" s="1">
        <v>1050.52</v>
      </c>
      <c r="AE15" s="1">
        <v>0</v>
      </c>
      <c r="AF15" s="1">
        <v>2967.34</v>
      </c>
      <c r="AG15" s="1">
        <v>2916.51</v>
      </c>
      <c r="AH15" s="1">
        <v>3821.78</v>
      </c>
      <c r="AI15" s="1"/>
      <c r="AJ15" s="1">
        <v>2284.04</v>
      </c>
      <c r="AK15" s="1"/>
      <c r="AL15" s="1">
        <v>1366.2207999999998</v>
      </c>
      <c r="AM15" s="1">
        <v>1912.7091199999995</v>
      </c>
      <c r="AN15" s="1">
        <v>623.20510000000002</v>
      </c>
      <c r="AO15" s="1">
        <v>3140.7360000000003</v>
      </c>
      <c r="AP15" s="1">
        <v>1087.6400000000001</v>
      </c>
      <c r="AQ15" s="1">
        <v>24072.051019999999</v>
      </c>
      <c r="AR15" s="2">
        <v>29712.894170844571</v>
      </c>
      <c r="AS15" s="1"/>
      <c r="AT15" s="2">
        <v>29712.894170844571</v>
      </c>
      <c r="AU15" s="2">
        <v>29712.894170844571</v>
      </c>
      <c r="AW15" s="1" t="s">
        <v>41</v>
      </c>
      <c r="AX15" s="2">
        <f t="shared" si="5"/>
        <v>21877.585190844569</v>
      </c>
      <c r="AY15" s="101">
        <f t="shared" si="2"/>
        <v>31907.360000000001</v>
      </c>
      <c r="AZ15" s="102">
        <f t="shared" si="3"/>
        <v>24072.051019999999</v>
      </c>
      <c r="BA15" s="1"/>
      <c r="BB15" s="1"/>
      <c r="BC15" s="2"/>
      <c r="BD15" s="102">
        <f t="shared" si="4"/>
        <v>29712.894170844571</v>
      </c>
    </row>
    <row r="16" spans="1:56" ht="12.95" customHeight="1" x14ac:dyDescent="0.25">
      <c r="A16" s="92" t="s">
        <v>42</v>
      </c>
      <c r="B16" s="83">
        <v>18283.478514700011</v>
      </c>
      <c r="C16" s="14">
        <v>16163.96000000001</v>
      </c>
      <c r="D16" s="3">
        <v>2119.5185146999997</v>
      </c>
      <c r="E16" s="15">
        <v>25827.589999999997</v>
      </c>
      <c r="F16" s="15">
        <v>25247.52</v>
      </c>
      <c r="G16" s="87">
        <v>16744.030000000006</v>
      </c>
      <c r="H16" s="83">
        <v>2119.5185146999997</v>
      </c>
      <c r="I16" s="84">
        <v>18863.548514700007</v>
      </c>
      <c r="J16" s="1">
        <v>17845.12</v>
      </c>
      <c r="K16" s="1">
        <v>8396.6200000000008</v>
      </c>
      <c r="L16" s="86">
        <v>646763.79999999981</v>
      </c>
      <c r="M16" s="1">
        <v>500</v>
      </c>
      <c r="N16" s="1">
        <v>500</v>
      </c>
      <c r="O16" s="1">
        <v>0</v>
      </c>
      <c r="P16" s="2">
        <v>646763.79999999981</v>
      </c>
      <c r="Q16" s="8" t="s">
        <v>30</v>
      </c>
      <c r="R16" s="14">
        <v>179143.03</v>
      </c>
      <c r="S16" s="11">
        <v>110028.17</v>
      </c>
      <c r="T16" s="14">
        <v>88505.79</v>
      </c>
      <c r="U16" s="11">
        <v>54454.12</v>
      </c>
      <c r="V16" s="85">
        <v>127347.74148530004</v>
      </c>
      <c r="W16" s="115"/>
      <c r="X16" s="8" t="s">
        <v>30</v>
      </c>
      <c r="Y16" s="261">
        <v>63857.03417084457</v>
      </c>
      <c r="Z16" s="262"/>
      <c r="AA16" s="1">
        <v>2065.73</v>
      </c>
      <c r="AB16" s="1"/>
      <c r="AC16" s="1">
        <v>835.62</v>
      </c>
      <c r="AD16" s="1">
        <v>1050.52</v>
      </c>
      <c r="AE16" s="1">
        <v>0</v>
      </c>
      <c r="AF16" s="1">
        <v>2967.34</v>
      </c>
      <c r="AG16" s="1">
        <v>2916.51</v>
      </c>
      <c r="AH16" s="1">
        <v>3821.78</v>
      </c>
      <c r="AI16" s="1"/>
      <c r="AJ16" s="1">
        <v>2284.04</v>
      </c>
      <c r="AK16" s="1">
        <v>847.41</v>
      </c>
      <c r="AL16" s="1">
        <v>1429.5991000000001</v>
      </c>
      <c r="AM16" s="1">
        <v>2001.4387399999998</v>
      </c>
      <c r="AN16" s="1">
        <v>624.20510000000002</v>
      </c>
      <c r="AO16" s="1">
        <v>3364.4140000000002</v>
      </c>
      <c r="AP16" s="1">
        <v>1087.6400000000001</v>
      </c>
      <c r="AQ16" s="1">
        <v>25296.246940000001</v>
      </c>
      <c r="AR16" s="2">
        <v>38560.787230844566</v>
      </c>
      <c r="AS16" s="1"/>
      <c r="AT16" s="2">
        <v>38560.787230844566</v>
      </c>
      <c r="AU16" s="2">
        <v>38560.787230844566</v>
      </c>
      <c r="AW16" s="1" t="s">
        <v>42</v>
      </c>
      <c r="AX16" s="2">
        <f t="shared" si="5"/>
        <v>29712.894170844571</v>
      </c>
      <c r="AY16" s="101">
        <f t="shared" si="2"/>
        <v>34144.14</v>
      </c>
      <c r="AZ16" s="102">
        <f t="shared" si="3"/>
        <v>25296.246940000001</v>
      </c>
      <c r="BA16" s="1"/>
      <c r="BB16" s="1"/>
      <c r="BC16" s="2"/>
      <c r="BD16" s="102">
        <f t="shared" si="4"/>
        <v>38560.787230844566</v>
      </c>
    </row>
    <row r="17" spans="1:56" ht="12.95" customHeight="1" x14ac:dyDescent="0.25">
      <c r="A17" s="92" t="s">
        <v>43</v>
      </c>
      <c r="B17" s="83">
        <v>18863.548514700007</v>
      </c>
      <c r="C17" s="14">
        <v>16744.030000000006</v>
      </c>
      <c r="D17" s="3">
        <v>2119.5185146999997</v>
      </c>
      <c r="E17" s="15">
        <v>25827.589999999997</v>
      </c>
      <c r="F17" s="15">
        <v>24234.73</v>
      </c>
      <c r="G17" s="87">
        <v>18336.890000000003</v>
      </c>
      <c r="H17" s="83">
        <v>2119.5185146999997</v>
      </c>
      <c r="I17" s="84">
        <v>20456.408514700004</v>
      </c>
      <c r="J17" s="1">
        <v>17846.12</v>
      </c>
      <c r="K17" s="1">
        <v>3853.15</v>
      </c>
      <c r="L17" s="86">
        <v>660756.76999999979</v>
      </c>
      <c r="M17" s="1">
        <v>500</v>
      </c>
      <c r="N17" s="1">
        <v>500</v>
      </c>
      <c r="O17" s="1">
        <v>0</v>
      </c>
      <c r="P17" s="2">
        <v>660756.76999999979</v>
      </c>
      <c r="Q17" s="8" t="s">
        <v>31</v>
      </c>
      <c r="R17" s="14">
        <v>186328.74</v>
      </c>
      <c r="S17" s="11">
        <v>114335.9</v>
      </c>
      <c r="T17" s="14">
        <v>89032.28</v>
      </c>
      <c r="U17" s="11">
        <v>58236.07</v>
      </c>
      <c r="V17" s="85">
        <v>132939.88148529999</v>
      </c>
      <c r="W17" s="115"/>
      <c r="X17" s="8" t="s">
        <v>31</v>
      </c>
      <c r="Y17" s="261">
        <v>67148.667230844556</v>
      </c>
      <c r="Z17" s="262"/>
      <c r="AA17" s="1">
        <v>2065.73</v>
      </c>
      <c r="AB17" s="1"/>
      <c r="AC17" s="1">
        <v>835.62</v>
      </c>
      <c r="AD17" s="1">
        <v>1050.52</v>
      </c>
      <c r="AE17" s="1">
        <v>0</v>
      </c>
      <c r="AF17" s="1">
        <v>2967.34</v>
      </c>
      <c r="AG17" s="1">
        <v>2916.51</v>
      </c>
      <c r="AH17" s="1">
        <v>3821.78</v>
      </c>
      <c r="AI17" s="1"/>
      <c r="AJ17" s="1">
        <v>2284.04</v>
      </c>
      <c r="AK17" s="1"/>
      <c r="AL17" s="1">
        <v>1472.6835000000001</v>
      </c>
      <c r="AM17" s="1">
        <v>2061.7568999999999</v>
      </c>
      <c r="AN17" s="1">
        <v>625.20510000000002</v>
      </c>
      <c r="AO17" s="1">
        <v>2808.7880000000005</v>
      </c>
      <c r="AP17" s="1">
        <v>1087.6400000000001</v>
      </c>
      <c r="AQ17" s="1">
        <v>23997.613499999999</v>
      </c>
      <c r="AR17" s="2">
        <v>43151.053730844556</v>
      </c>
      <c r="AS17" s="1"/>
      <c r="AT17" s="2">
        <v>43151.053730844556</v>
      </c>
      <c r="AU17" s="2">
        <v>43151.053730844556</v>
      </c>
      <c r="AW17" s="1" t="s">
        <v>43</v>
      </c>
      <c r="AX17" s="2">
        <f t="shared" si="5"/>
        <v>38560.787230844566</v>
      </c>
      <c r="AY17" s="101">
        <f t="shared" si="2"/>
        <v>28587.88</v>
      </c>
      <c r="AZ17" s="102">
        <f t="shared" si="3"/>
        <v>23997.613499999999</v>
      </c>
      <c r="BA17" s="1"/>
      <c r="BB17" s="1"/>
      <c r="BC17" s="2"/>
      <c r="BD17" s="102">
        <f t="shared" si="4"/>
        <v>43151.053730844571</v>
      </c>
    </row>
    <row r="18" spans="1:56" ht="12.95" customHeight="1" x14ac:dyDescent="0.25">
      <c r="A18" s="92" t="s">
        <v>133</v>
      </c>
      <c r="B18" s="83">
        <v>20456.408514700004</v>
      </c>
      <c r="C18" s="14">
        <v>18336.890000000003</v>
      </c>
      <c r="D18" s="3">
        <v>2119.5185146999997</v>
      </c>
      <c r="E18" s="15">
        <v>25828.25</v>
      </c>
      <c r="F18" s="15">
        <v>25471.94</v>
      </c>
      <c r="G18" s="87">
        <v>18693.200000000004</v>
      </c>
      <c r="H18" s="83">
        <v>2119.5185146999997</v>
      </c>
      <c r="I18" s="84">
        <v>20812.718514700005</v>
      </c>
      <c r="J18" s="1">
        <v>17847.12</v>
      </c>
      <c r="K18" s="1">
        <v>12435.27</v>
      </c>
      <c r="L18" s="86">
        <v>666168.61999999976</v>
      </c>
      <c r="M18" s="1">
        <v>500</v>
      </c>
      <c r="N18" s="1">
        <v>500</v>
      </c>
      <c r="O18" s="1">
        <v>0</v>
      </c>
      <c r="P18" s="2">
        <v>666168.61999999976</v>
      </c>
      <c r="Q18" s="8" t="s">
        <v>32</v>
      </c>
      <c r="R18" s="14">
        <v>198436.37</v>
      </c>
      <c r="S18" s="11">
        <v>114861.68</v>
      </c>
      <c r="T18" s="14">
        <v>100838.33</v>
      </c>
      <c r="U18" s="11">
        <v>56859.99</v>
      </c>
      <c r="V18" s="85">
        <v>134787.01148529997</v>
      </c>
      <c r="W18" s="115"/>
      <c r="X18" s="8" t="s">
        <v>32</v>
      </c>
      <c r="Y18" s="261">
        <v>81558.263730844556</v>
      </c>
      <c r="Z18" s="262"/>
      <c r="AA18" s="1">
        <v>2065.73</v>
      </c>
      <c r="AB18" s="1"/>
      <c r="AC18" s="1">
        <v>835.62</v>
      </c>
      <c r="AD18" s="1">
        <v>1050.52</v>
      </c>
      <c r="AE18" s="1">
        <v>0</v>
      </c>
      <c r="AF18" s="1">
        <v>2967.34</v>
      </c>
      <c r="AG18" s="1">
        <v>2916.51</v>
      </c>
      <c r="AH18" s="1">
        <v>3821.78</v>
      </c>
      <c r="AI18" s="1">
        <v>8379</v>
      </c>
      <c r="AJ18" s="1">
        <v>2284.04</v>
      </c>
      <c r="AK18" s="1"/>
      <c r="AL18" s="1">
        <v>1576.9832000000001</v>
      </c>
      <c r="AM18" s="1">
        <v>2207.77648</v>
      </c>
      <c r="AN18" s="1">
        <v>626.20510000000002</v>
      </c>
      <c r="AO18" s="1">
        <v>3790.721</v>
      </c>
      <c r="AP18" s="1">
        <v>1087.6400000000001</v>
      </c>
      <c r="AQ18" s="1">
        <v>33609.86578</v>
      </c>
      <c r="AR18" s="2">
        <v>47948.397950844555</v>
      </c>
      <c r="AS18" s="1">
        <v>14008.98</v>
      </c>
      <c r="AT18" s="2">
        <v>33939.417950844552</v>
      </c>
      <c r="AU18" s="2">
        <v>33939.417950844552</v>
      </c>
      <c r="AW18" s="1" t="s">
        <v>133</v>
      </c>
      <c r="AX18" s="2">
        <f>AU17</f>
        <v>43151.053730844556</v>
      </c>
      <c r="AY18" s="101">
        <f t="shared" si="2"/>
        <v>38407.21</v>
      </c>
      <c r="AZ18" s="102">
        <f t="shared" si="3"/>
        <v>33609.86578</v>
      </c>
      <c r="BA18" s="107" t="s">
        <v>138</v>
      </c>
      <c r="BB18" s="1">
        <v>14008.98</v>
      </c>
      <c r="BC18" s="2"/>
      <c r="BD18" s="102">
        <f t="shared" si="4"/>
        <v>33939.417950844552</v>
      </c>
    </row>
    <row r="19" spans="1:56" ht="18.75" customHeight="1" x14ac:dyDescent="0.25">
      <c r="A19" s="92"/>
      <c r="B19" s="83"/>
      <c r="C19" s="14"/>
      <c r="D19" s="3"/>
      <c r="E19" s="15"/>
      <c r="F19" s="15"/>
      <c r="G19" s="87"/>
      <c r="H19" s="83"/>
      <c r="I19" s="106" t="s">
        <v>145</v>
      </c>
      <c r="J19" s="1"/>
      <c r="K19" s="1"/>
      <c r="L19" s="86"/>
      <c r="M19" s="1"/>
      <c r="N19" s="1"/>
      <c r="O19" s="1"/>
      <c r="P19" s="2"/>
      <c r="Q19" s="8"/>
      <c r="R19" s="14"/>
      <c r="S19" s="11"/>
      <c r="T19" s="106" t="s">
        <v>145</v>
      </c>
      <c r="U19" s="11"/>
      <c r="V19" s="85"/>
      <c r="W19" s="115"/>
      <c r="X19" s="8"/>
      <c r="Y19" s="83"/>
      <c r="Z19" s="96"/>
      <c r="AA19" s="1"/>
      <c r="AB19" s="1"/>
      <c r="AC19" s="1"/>
      <c r="AD19" s="1"/>
      <c r="AE19" s="1"/>
      <c r="AF19" s="1"/>
      <c r="AG19" s="1"/>
      <c r="AH19" s="1"/>
      <c r="AI19" s="1"/>
      <c r="AJ19" s="106" t="s">
        <v>145</v>
      </c>
      <c r="AK19" s="1"/>
      <c r="AL19" s="1"/>
      <c r="AM19" s="1"/>
      <c r="AN19" s="1"/>
      <c r="AO19" s="1"/>
      <c r="AP19" s="1"/>
      <c r="AQ19" s="1"/>
      <c r="AR19" s="2"/>
      <c r="AS19" s="1"/>
      <c r="AT19" s="1"/>
      <c r="AU19" s="1"/>
      <c r="AW19" s="106" t="s">
        <v>145</v>
      </c>
      <c r="AX19" s="2"/>
      <c r="AY19" s="121"/>
      <c r="AZ19" s="122"/>
      <c r="BA19" s="124"/>
      <c r="BB19" s="121"/>
      <c r="BC19" s="122"/>
      <c r="BD19" s="122"/>
    </row>
    <row r="20" spans="1:56" s="103" customFormat="1" ht="12.95" customHeight="1" x14ac:dyDescent="0.25">
      <c r="A20" s="104" t="s">
        <v>127</v>
      </c>
      <c r="B20" s="97">
        <v>20812.718514700005</v>
      </c>
      <c r="C20" s="98">
        <v>18693.200000000004</v>
      </c>
      <c r="D20" s="99">
        <v>2119.5185146999997</v>
      </c>
      <c r="E20" s="100">
        <v>25922.29</v>
      </c>
      <c r="F20" s="100">
        <v>29810.73</v>
      </c>
      <c r="G20" s="100">
        <v>14804.760000000006</v>
      </c>
      <c r="H20" s="97">
        <v>2119.5185146999997</v>
      </c>
      <c r="I20" s="97">
        <v>16924.278514700007</v>
      </c>
      <c r="J20" s="101">
        <v>17848.12</v>
      </c>
      <c r="K20" s="101">
        <v>2984.19</v>
      </c>
      <c r="L20" s="101">
        <v>681032.54999999981</v>
      </c>
      <c r="M20" s="101">
        <v>500</v>
      </c>
      <c r="N20" s="101">
        <v>500</v>
      </c>
      <c r="O20" s="101">
        <v>0</v>
      </c>
      <c r="P20" s="102">
        <v>681032.54999999981</v>
      </c>
      <c r="Q20" s="93" t="s">
        <v>33</v>
      </c>
      <c r="R20" s="98">
        <v>206136.02</v>
      </c>
      <c r="S20" s="98">
        <v>116763.54</v>
      </c>
      <c r="T20" s="98">
        <v>132716.68</v>
      </c>
      <c r="U20" s="98">
        <v>59640.27</v>
      </c>
      <c r="V20" s="102">
        <v>113618.3314853</v>
      </c>
      <c r="W20" s="115"/>
      <c r="X20" s="93" t="s">
        <v>33</v>
      </c>
      <c r="Y20" s="242">
        <v>66734.337950844551</v>
      </c>
      <c r="Z20" s="243"/>
      <c r="AA20" s="101">
        <v>2065.73</v>
      </c>
      <c r="AB20" s="101"/>
      <c r="AC20" s="101">
        <v>835.62</v>
      </c>
      <c r="AD20" s="101">
        <v>1050.52</v>
      </c>
      <c r="AE20" s="101">
        <v>0</v>
      </c>
      <c r="AF20" s="101">
        <v>2967.34</v>
      </c>
      <c r="AG20" s="101">
        <v>2916.51</v>
      </c>
      <c r="AH20" s="101">
        <v>3821.78</v>
      </c>
      <c r="AI20" s="101"/>
      <c r="AJ20" s="101">
        <v>2284.04</v>
      </c>
      <c r="AK20" s="101"/>
      <c r="AL20" s="101">
        <v>1923.5694999999998</v>
      </c>
      <c r="AM20" s="101">
        <v>2692.9972999999995</v>
      </c>
      <c r="AN20" s="101">
        <v>627.20510000000002</v>
      </c>
      <c r="AO20" s="101">
        <v>3279.4920000000002</v>
      </c>
      <c r="AP20" s="101">
        <v>1087.6400000000001</v>
      </c>
      <c r="AQ20" s="101">
        <v>25552.443899999998</v>
      </c>
      <c r="AR20" s="102">
        <f t="shared" ref="AR20:AR28" si="6">Y20-AQ20</f>
        <v>41181.894050844552</v>
      </c>
      <c r="AS20" s="101"/>
      <c r="AT20" s="102">
        <v>41181.894050844552</v>
      </c>
      <c r="AU20" s="102">
        <v>41181.894050844552</v>
      </c>
      <c r="AW20" s="101" t="s">
        <v>127</v>
      </c>
      <c r="AX20" s="102">
        <v>33939.417950844552</v>
      </c>
      <c r="AY20" s="101">
        <f t="shared" si="2"/>
        <v>33294.92</v>
      </c>
      <c r="AZ20" s="102">
        <f t="shared" si="3"/>
        <v>25552.443899999998</v>
      </c>
      <c r="BA20" s="108"/>
      <c r="BB20" s="101">
        <v>0</v>
      </c>
      <c r="BC20" s="102"/>
      <c r="BD20" s="102">
        <f t="shared" si="4"/>
        <v>41681.894050844552</v>
      </c>
    </row>
    <row r="21" spans="1:56" ht="12.95" customHeight="1" x14ac:dyDescent="0.25">
      <c r="A21" s="92" t="s">
        <v>129</v>
      </c>
      <c r="B21" s="83">
        <v>16924.278514700007</v>
      </c>
      <c r="C21" s="14">
        <v>14804.760000000006</v>
      </c>
      <c r="D21" s="3">
        <v>2119.5185146999997</v>
      </c>
      <c r="E21" s="15">
        <v>25922.29</v>
      </c>
      <c r="F21" s="15">
        <v>25607.11</v>
      </c>
      <c r="G21" s="87">
        <v>15119.940000000006</v>
      </c>
      <c r="H21" s="83">
        <v>2119.5185146999997</v>
      </c>
      <c r="I21" s="84">
        <v>17239.458514700007</v>
      </c>
      <c r="J21" s="1">
        <v>17849.12</v>
      </c>
      <c r="K21" s="1">
        <v>24903.16</v>
      </c>
      <c r="L21" s="86">
        <v>673978.50999999978</v>
      </c>
      <c r="M21" s="121">
        <v>500</v>
      </c>
      <c r="N21" s="121">
        <v>500</v>
      </c>
      <c r="O21" s="1">
        <v>0</v>
      </c>
      <c r="P21" s="2">
        <v>673978.50999999978</v>
      </c>
      <c r="Q21" s="8" t="s">
        <v>151</v>
      </c>
      <c r="R21" s="14">
        <v>166938.76999999999</v>
      </c>
      <c r="S21" s="11">
        <v>116763.54</v>
      </c>
      <c r="T21" s="14">
        <v>90850.79</v>
      </c>
      <c r="U21" s="11">
        <v>59640.27</v>
      </c>
      <c r="V21" s="102">
        <f>R21+S21-T21-U21-I21</f>
        <v>115971.79148530003</v>
      </c>
      <c r="W21" s="115"/>
      <c r="X21" s="92" t="s">
        <v>129</v>
      </c>
      <c r="Y21" s="242">
        <f t="shared" ref="Y21:Y29" si="7">AU20+F21+K21+N21</f>
        <v>92192.164050844556</v>
      </c>
      <c r="Z21" s="243"/>
      <c r="AA21" s="1">
        <v>2065.73</v>
      </c>
      <c r="AB21" s="1"/>
      <c r="AC21" s="1">
        <v>835.62</v>
      </c>
      <c r="AD21" s="1">
        <v>1050.52</v>
      </c>
      <c r="AE21" s="1">
        <v>0</v>
      </c>
      <c r="AF21" s="1">
        <v>2967.34</v>
      </c>
      <c r="AG21" s="1">
        <v>2916.51</v>
      </c>
      <c r="AH21" s="1">
        <v>3821.78</v>
      </c>
      <c r="AI21" s="1"/>
      <c r="AJ21" s="1">
        <v>2284.04</v>
      </c>
      <c r="AK21" s="1"/>
      <c r="AL21" s="101">
        <f t="shared" ref="AL21:AL26" si="8">(T21+U21)*1%</f>
        <v>1504.9105999999999</v>
      </c>
      <c r="AM21" s="101">
        <f t="shared" ref="AM21:AM29" si="9">(T21+U21)*1.4%</f>
        <v>2106.8748399999999</v>
      </c>
      <c r="AN21" s="1">
        <v>628.20510000000002</v>
      </c>
      <c r="AO21" s="101">
        <f t="shared" ref="AO21:AO31" si="10">(F21+K21+N21)*10%</f>
        <v>5101.027000000001</v>
      </c>
      <c r="AP21" s="1">
        <v>1087.6400000000001</v>
      </c>
      <c r="AQ21" s="101">
        <f t="shared" ref="AQ21:AQ28" si="11">SUM(AA21:AP21)</f>
        <v>26370.197540000001</v>
      </c>
      <c r="AR21" s="102">
        <f t="shared" si="6"/>
        <v>65821.966510844562</v>
      </c>
      <c r="AS21" s="1"/>
      <c r="AT21" s="2">
        <f t="shared" ref="AT21:AT28" si="12">AR21-AS21</f>
        <v>65821.966510844562</v>
      </c>
      <c r="AU21" s="2">
        <f t="shared" ref="AU21:AU29" si="13">AT21</f>
        <v>65821.966510844562</v>
      </c>
      <c r="AW21" s="1" t="s">
        <v>129</v>
      </c>
      <c r="AX21" s="102">
        <v>41181.894050844552</v>
      </c>
      <c r="AY21" s="101">
        <f t="shared" si="2"/>
        <v>51010.270000000004</v>
      </c>
      <c r="AZ21" s="102">
        <f t="shared" si="3"/>
        <v>26370.197540000001</v>
      </c>
      <c r="BA21" s="107"/>
      <c r="BB21" s="1">
        <v>0</v>
      </c>
      <c r="BC21" s="2"/>
      <c r="BD21" s="102">
        <f t="shared" si="4"/>
        <v>65821.966510844562</v>
      </c>
    </row>
    <row r="22" spans="1:56" ht="12.75" customHeight="1" x14ac:dyDescent="0.25">
      <c r="A22" s="92" t="s">
        <v>130</v>
      </c>
      <c r="B22" s="83">
        <v>17239.458514700007</v>
      </c>
      <c r="C22" s="14">
        <v>15119.940000000006</v>
      </c>
      <c r="D22" s="3">
        <v>2119.5185146999997</v>
      </c>
      <c r="E22" s="15">
        <v>25922.29</v>
      </c>
      <c r="F22" s="15">
        <f>3425.04+21494.16</f>
        <v>24919.200000000001</v>
      </c>
      <c r="G22" s="100">
        <f>C22+E22-F22</f>
        <v>16123.03000000001</v>
      </c>
      <c r="H22" s="83">
        <v>2119.5185146999997</v>
      </c>
      <c r="I22" s="97">
        <f>G22+H22</f>
        <v>18242.548514700011</v>
      </c>
      <c r="J22" s="1">
        <v>17841.12</v>
      </c>
      <c r="K22" s="1">
        <v>5245.64</v>
      </c>
      <c r="L22" s="101">
        <f>L21+J22-K22</f>
        <v>686573.98999999976</v>
      </c>
      <c r="M22" s="121">
        <v>500</v>
      </c>
      <c r="N22" s="121">
        <v>500</v>
      </c>
      <c r="O22" s="101">
        <f>M22-N22</f>
        <v>0</v>
      </c>
      <c r="P22" s="2">
        <f t="shared" ref="P22:P28" si="14">L22+O22</f>
        <v>686573.98999999976</v>
      </c>
      <c r="Q22" s="8" t="s">
        <v>130</v>
      </c>
      <c r="R22" s="14">
        <v>166938.76999999999</v>
      </c>
      <c r="S22" s="11">
        <v>116763.54</v>
      </c>
      <c r="T22" s="14">
        <v>98913.04</v>
      </c>
      <c r="U22" s="11">
        <v>57091.07</v>
      </c>
      <c r="V22" s="102">
        <f>R22+S22-T22-U22-I22</f>
        <v>109455.6514853</v>
      </c>
      <c r="W22" s="115"/>
      <c r="X22" s="92" t="s">
        <v>130</v>
      </c>
      <c r="Y22" s="242">
        <f t="shared" si="7"/>
        <v>96486.806510844559</v>
      </c>
      <c r="Z22" s="243"/>
      <c r="AA22" s="1">
        <v>2065.73</v>
      </c>
      <c r="AB22" s="1"/>
      <c r="AC22" s="1">
        <v>835.62</v>
      </c>
      <c r="AD22" s="1">
        <v>1050.52</v>
      </c>
      <c r="AE22" s="1">
        <v>0</v>
      </c>
      <c r="AF22" s="1">
        <v>2967.34</v>
      </c>
      <c r="AG22" s="1">
        <v>2916.51</v>
      </c>
      <c r="AH22" s="1">
        <v>3821.78</v>
      </c>
      <c r="AI22" s="1"/>
      <c r="AJ22" s="1">
        <v>2284.04</v>
      </c>
      <c r="AK22" s="1"/>
      <c r="AL22" s="101">
        <f t="shared" si="8"/>
        <v>1560.0410999999999</v>
      </c>
      <c r="AM22" s="101">
        <f t="shared" si="9"/>
        <v>2184.0575399999998</v>
      </c>
      <c r="AN22" s="1">
        <v>603.21</v>
      </c>
      <c r="AO22" s="101">
        <f t="shared" si="10"/>
        <v>3066.4840000000004</v>
      </c>
      <c r="AP22" s="1">
        <v>1087.6400000000001</v>
      </c>
      <c r="AQ22" s="101">
        <f t="shared" si="11"/>
        <v>24442.972639999996</v>
      </c>
      <c r="AR22" s="102">
        <f t="shared" si="6"/>
        <v>72043.833870844566</v>
      </c>
      <c r="AS22" s="1"/>
      <c r="AT22" s="2">
        <f t="shared" si="12"/>
        <v>72043.833870844566</v>
      </c>
      <c r="AU22" s="2">
        <f t="shared" si="13"/>
        <v>72043.833870844566</v>
      </c>
      <c r="AW22" s="1" t="s">
        <v>130</v>
      </c>
      <c r="AX22" s="102">
        <f t="shared" ref="AX22:AX28" si="15">AU21</f>
        <v>65821.966510844562</v>
      </c>
      <c r="AY22" s="101">
        <f t="shared" ref="AY22:AY28" si="16">F22+K22+N22</f>
        <v>30664.84</v>
      </c>
      <c r="AZ22" s="102">
        <f t="shared" si="3"/>
        <v>24442.972639999996</v>
      </c>
      <c r="BA22" s="107"/>
      <c r="BB22" s="1">
        <v>0</v>
      </c>
      <c r="BC22" s="2"/>
      <c r="BD22" s="102">
        <f t="shared" ref="BD22:BD28" si="17">AX22+AY22-AZ22-BB22</f>
        <v>72043.833870844566</v>
      </c>
    </row>
    <row r="23" spans="1:56" ht="12.95" customHeight="1" x14ac:dyDescent="0.25">
      <c r="A23" s="92" t="s">
        <v>36</v>
      </c>
      <c r="B23" s="97">
        <f>I22</f>
        <v>18242.548514700011</v>
      </c>
      <c r="C23" s="98">
        <f t="shared" ref="C23:C28" si="18">G22</f>
        <v>16123.03000000001</v>
      </c>
      <c r="D23" s="3">
        <v>2119.5185146999997</v>
      </c>
      <c r="E23" s="15">
        <f>3917.29+22006.33</f>
        <v>25923.620000000003</v>
      </c>
      <c r="F23" s="15">
        <f>3379.3+20485.62</f>
        <v>23864.92</v>
      </c>
      <c r="G23" s="100">
        <f t="shared" ref="G23:G32" si="19">C23+E23-F23</f>
        <v>18181.73000000001</v>
      </c>
      <c r="H23" s="83">
        <v>2119.5185146999997</v>
      </c>
      <c r="I23" s="97">
        <f t="shared" ref="I23:I32" si="20">G23+H23</f>
        <v>20301.248514700012</v>
      </c>
      <c r="J23" s="1">
        <v>17805.12</v>
      </c>
      <c r="K23" s="1">
        <v>5764.4</v>
      </c>
      <c r="L23" s="101">
        <f t="shared" ref="L23:L32" si="21">L22+J23-K23</f>
        <v>698614.70999999973</v>
      </c>
      <c r="M23" s="121">
        <v>500</v>
      </c>
      <c r="N23" s="121">
        <v>500</v>
      </c>
      <c r="O23" s="101">
        <f>M23-N23</f>
        <v>0</v>
      </c>
      <c r="P23" s="2">
        <f t="shared" si="14"/>
        <v>698614.70999999973</v>
      </c>
      <c r="Q23" s="8" t="s">
        <v>148</v>
      </c>
      <c r="R23" s="14">
        <v>188020.73</v>
      </c>
      <c r="S23" s="11">
        <v>119024.92</v>
      </c>
      <c r="T23" s="14">
        <v>92211.06</v>
      </c>
      <c r="U23" s="11">
        <v>52735.56</v>
      </c>
      <c r="V23" s="102">
        <f t="shared" ref="V23:V33" si="22">R23+S23-T23-U23-I23</f>
        <v>141797.78148530002</v>
      </c>
      <c r="W23" s="115"/>
      <c r="X23" s="92" t="s">
        <v>131</v>
      </c>
      <c r="Y23" s="242">
        <f t="shared" si="7"/>
        <v>102173.15387084456</v>
      </c>
      <c r="Z23" s="243"/>
      <c r="AA23" s="1">
        <v>2065.73</v>
      </c>
      <c r="AB23" s="1"/>
      <c r="AC23" s="1">
        <v>835.62</v>
      </c>
      <c r="AD23" s="1">
        <v>1050.52</v>
      </c>
      <c r="AE23" s="1">
        <v>0</v>
      </c>
      <c r="AF23" s="1">
        <v>2967.34</v>
      </c>
      <c r="AG23" s="1">
        <v>2916.51</v>
      </c>
      <c r="AH23" s="1">
        <v>3821.78</v>
      </c>
      <c r="AI23" s="1"/>
      <c r="AJ23" s="1">
        <v>2284.04</v>
      </c>
      <c r="AK23" s="1"/>
      <c r="AL23" s="101">
        <f t="shared" si="8"/>
        <v>1449.4662000000001</v>
      </c>
      <c r="AM23" s="101">
        <f t="shared" si="9"/>
        <v>2029.2526799999998</v>
      </c>
      <c r="AN23" s="1">
        <v>603.21</v>
      </c>
      <c r="AO23" s="101">
        <f t="shared" si="10"/>
        <v>3012.9320000000002</v>
      </c>
      <c r="AP23" s="1">
        <v>1087.6400000000001</v>
      </c>
      <c r="AQ23" s="101">
        <f t="shared" si="11"/>
        <v>24124.04088</v>
      </c>
      <c r="AR23" s="102">
        <f t="shared" si="6"/>
        <v>78049.112990844558</v>
      </c>
      <c r="AS23" s="1">
        <v>65162</v>
      </c>
      <c r="AT23" s="2">
        <f t="shared" si="12"/>
        <v>12887.112990844558</v>
      </c>
      <c r="AU23" s="2">
        <f t="shared" si="13"/>
        <v>12887.112990844558</v>
      </c>
      <c r="AW23" s="1" t="s">
        <v>131</v>
      </c>
      <c r="AX23" s="102">
        <f t="shared" si="15"/>
        <v>72043.833870844566</v>
      </c>
      <c r="AY23" s="101">
        <f t="shared" si="16"/>
        <v>30129.32</v>
      </c>
      <c r="AZ23" s="102">
        <f t="shared" ref="AZ23:AZ28" si="23">AQ23</f>
        <v>24124.04088</v>
      </c>
      <c r="BA23" s="109" t="s">
        <v>142</v>
      </c>
      <c r="BB23" s="1">
        <v>65162</v>
      </c>
      <c r="BC23" s="2"/>
      <c r="BD23" s="102">
        <f t="shared" si="17"/>
        <v>12887.112990844573</v>
      </c>
    </row>
    <row r="24" spans="1:56" ht="12.95" customHeight="1" x14ac:dyDescent="0.25">
      <c r="A24" s="92" t="s">
        <v>37</v>
      </c>
      <c r="B24" s="97">
        <f>I23</f>
        <v>20301.248514700012</v>
      </c>
      <c r="C24" s="98">
        <f t="shared" si="18"/>
        <v>18181.73000000001</v>
      </c>
      <c r="D24" s="3">
        <v>2119.5185146999997</v>
      </c>
      <c r="E24" s="15">
        <f>3427.05+22501.91</f>
        <v>25928.959999999999</v>
      </c>
      <c r="F24" s="15">
        <f>2980.54+21466.44</f>
        <v>24446.98</v>
      </c>
      <c r="G24" s="100">
        <f t="shared" si="19"/>
        <v>19663.71000000001</v>
      </c>
      <c r="H24" s="83">
        <v>2119.5185146999997</v>
      </c>
      <c r="I24" s="97">
        <f t="shared" si="20"/>
        <v>21783.228514700011</v>
      </c>
      <c r="J24" s="1">
        <v>17841.12</v>
      </c>
      <c r="K24" s="1">
        <v>4594.29</v>
      </c>
      <c r="L24" s="101">
        <f t="shared" si="21"/>
        <v>711861.53999999969</v>
      </c>
      <c r="M24" s="121">
        <v>500</v>
      </c>
      <c r="N24" s="121">
        <v>500</v>
      </c>
      <c r="O24" s="101">
        <f>M24-N24</f>
        <v>0</v>
      </c>
      <c r="P24" s="2">
        <f t="shared" si="14"/>
        <v>711861.53999999969</v>
      </c>
      <c r="Q24" s="8" t="s">
        <v>37</v>
      </c>
      <c r="R24" s="14">
        <v>204787.36</v>
      </c>
      <c r="S24" s="11">
        <v>125051.21</v>
      </c>
      <c r="T24" s="14">
        <v>106102.6</v>
      </c>
      <c r="U24" s="11">
        <v>57262.879999999997</v>
      </c>
      <c r="V24" s="102">
        <f t="shared" si="22"/>
        <v>144689.86148529997</v>
      </c>
      <c r="W24" s="115"/>
      <c r="X24" s="92" t="s">
        <v>37</v>
      </c>
      <c r="Y24" s="242">
        <f t="shared" si="7"/>
        <v>42428.382990844555</v>
      </c>
      <c r="Z24" s="243"/>
      <c r="AA24" s="1">
        <v>2065.73</v>
      </c>
      <c r="AB24" s="1"/>
      <c r="AC24" s="1">
        <v>835.62</v>
      </c>
      <c r="AD24" s="1">
        <v>1050.52</v>
      </c>
      <c r="AE24" s="1">
        <v>0</v>
      </c>
      <c r="AF24" s="1">
        <v>2967.34</v>
      </c>
      <c r="AG24" s="1">
        <v>2916.51</v>
      </c>
      <c r="AH24" s="1">
        <v>3821.78</v>
      </c>
      <c r="AI24" s="1"/>
      <c r="AJ24" s="1">
        <v>2284.04</v>
      </c>
      <c r="AK24" s="1"/>
      <c r="AL24" s="101">
        <f t="shared" si="8"/>
        <v>1633.6548000000003</v>
      </c>
      <c r="AM24" s="101">
        <f t="shared" si="9"/>
        <v>2287.11672</v>
      </c>
      <c r="AN24" s="1">
        <v>603.21</v>
      </c>
      <c r="AO24" s="101">
        <f t="shared" si="10"/>
        <v>2954.1270000000004</v>
      </c>
      <c r="AP24" s="1">
        <v>1087.6400000000001</v>
      </c>
      <c r="AQ24" s="101">
        <f t="shared" si="11"/>
        <v>24507.288520000002</v>
      </c>
      <c r="AR24" s="102">
        <f t="shared" si="6"/>
        <v>17921.094470844553</v>
      </c>
      <c r="AS24" s="1">
        <v>31080.16</v>
      </c>
      <c r="AT24" s="2">
        <f t="shared" si="12"/>
        <v>-13159.065529155447</v>
      </c>
      <c r="AU24" s="2">
        <f t="shared" si="13"/>
        <v>-13159.065529155447</v>
      </c>
      <c r="AW24" s="1" t="s">
        <v>37</v>
      </c>
      <c r="AX24" s="102">
        <f t="shared" si="15"/>
        <v>12887.112990844558</v>
      </c>
      <c r="AY24" s="101">
        <f t="shared" si="16"/>
        <v>29541.27</v>
      </c>
      <c r="AZ24" s="102">
        <f t="shared" si="23"/>
        <v>24507.288520000002</v>
      </c>
      <c r="BA24" s="109" t="s">
        <v>149</v>
      </c>
      <c r="BB24" s="1">
        <v>31080.16</v>
      </c>
      <c r="BC24" s="2"/>
      <c r="BD24" s="102">
        <f t="shared" si="17"/>
        <v>-13159.065529155439</v>
      </c>
    </row>
    <row r="25" spans="1:56" ht="12.95" customHeight="1" x14ac:dyDescent="0.25">
      <c r="A25" s="92" t="s">
        <v>38</v>
      </c>
      <c r="B25" s="97">
        <f>I24</f>
        <v>21783.228514700011</v>
      </c>
      <c r="C25" s="98">
        <f t="shared" si="18"/>
        <v>19663.71000000001</v>
      </c>
      <c r="D25" s="3">
        <v>2119.5185146999997</v>
      </c>
      <c r="E25" s="15">
        <f>3427.05+22501.91</f>
        <v>25928.959999999999</v>
      </c>
      <c r="F25" s="15">
        <f>2645.32+20617.84</f>
        <v>23263.16</v>
      </c>
      <c r="G25" s="100">
        <f t="shared" si="19"/>
        <v>22329.510000000013</v>
      </c>
      <c r="H25" s="83">
        <v>2119.5185146999997</v>
      </c>
      <c r="I25" s="97">
        <f t="shared" si="20"/>
        <v>24449.028514700014</v>
      </c>
      <c r="J25" s="1">
        <v>17841.12</v>
      </c>
      <c r="K25" s="1">
        <v>4988.38</v>
      </c>
      <c r="L25" s="101">
        <f t="shared" si="21"/>
        <v>724714.27999999968</v>
      </c>
      <c r="M25" s="121">
        <f>256.58+500</f>
        <v>756.57999999999993</v>
      </c>
      <c r="N25" s="121">
        <f>256.58+500</f>
        <v>756.57999999999993</v>
      </c>
      <c r="O25" s="101">
        <f>M25-N25</f>
        <v>0</v>
      </c>
      <c r="P25" s="2">
        <f t="shared" si="14"/>
        <v>724714.27999999968</v>
      </c>
      <c r="Q25" s="8" t="s">
        <v>38</v>
      </c>
      <c r="R25" s="14">
        <v>193823.08</v>
      </c>
      <c r="S25" s="11">
        <v>126550.18</v>
      </c>
      <c r="T25" s="14">
        <v>87397.81</v>
      </c>
      <c r="U25" s="11">
        <v>58456.98</v>
      </c>
      <c r="V25" s="102">
        <f t="shared" si="22"/>
        <v>150069.44148529999</v>
      </c>
      <c r="W25" s="115"/>
      <c r="X25" s="92" t="s">
        <v>38</v>
      </c>
      <c r="Y25" s="242">
        <f t="shared" si="7"/>
        <v>15849.054470844554</v>
      </c>
      <c r="Z25" s="243"/>
      <c r="AA25" s="1">
        <v>2065.73</v>
      </c>
      <c r="AB25" s="1"/>
      <c r="AC25" s="1">
        <v>835.62</v>
      </c>
      <c r="AD25" s="1">
        <v>1050.52</v>
      </c>
      <c r="AE25" s="1">
        <v>0</v>
      </c>
      <c r="AF25" s="1">
        <v>2967.34</v>
      </c>
      <c r="AG25" s="1">
        <v>2916.51</v>
      </c>
      <c r="AH25" s="1">
        <v>3821.78</v>
      </c>
      <c r="AI25" s="1"/>
      <c r="AJ25" s="1">
        <v>2284.04</v>
      </c>
      <c r="AK25" s="1"/>
      <c r="AL25" s="101">
        <f t="shared" si="8"/>
        <v>1458.5479</v>
      </c>
      <c r="AM25" s="101">
        <f t="shared" si="9"/>
        <v>2041.9670599999999</v>
      </c>
      <c r="AN25" s="1">
        <v>604.21</v>
      </c>
      <c r="AO25" s="101">
        <f t="shared" si="10"/>
        <v>2900.8120000000004</v>
      </c>
      <c r="AP25" s="1">
        <v>1088.6400000000001</v>
      </c>
      <c r="AQ25" s="101">
        <f t="shared" si="11"/>
        <v>24035.716960000002</v>
      </c>
      <c r="AR25" s="102">
        <f t="shared" si="6"/>
        <v>-8186.6624891554475</v>
      </c>
      <c r="AS25" s="121">
        <v>32043.07</v>
      </c>
      <c r="AT25" s="2">
        <f t="shared" si="12"/>
        <v>-40229.732489155445</v>
      </c>
      <c r="AU25" s="2">
        <f t="shared" si="13"/>
        <v>-40229.732489155445</v>
      </c>
      <c r="AW25" s="1" t="s">
        <v>38</v>
      </c>
      <c r="AX25" s="102">
        <f t="shared" si="15"/>
        <v>-13159.065529155447</v>
      </c>
      <c r="AY25" s="101">
        <f t="shared" si="16"/>
        <v>29008.120000000003</v>
      </c>
      <c r="AZ25" s="102">
        <f t="shared" si="23"/>
        <v>24035.716960000002</v>
      </c>
      <c r="BA25" s="123" t="s">
        <v>153</v>
      </c>
      <c r="BB25" s="121">
        <v>32043.07</v>
      </c>
      <c r="BC25" s="122"/>
      <c r="BD25" s="102">
        <f t="shared" si="17"/>
        <v>-40229.732489155445</v>
      </c>
    </row>
    <row r="26" spans="1:56" ht="12.95" customHeight="1" x14ac:dyDescent="0.25">
      <c r="A26" s="92" t="s">
        <v>39</v>
      </c>
      <c r="B26" s="83">
        <f t="shared" ref="B26:B31" si="24">G25</f>
        <v>22329.510000000013</v>
      </c>
      <c r="C26" s="98">
        <f t="shared" si="18"/>
        <v>22329.510000000013</v>
      </c>
      <c r="D26" s="3">
        <v>0</v>
      </c>
      <c r="E26" s="15">
        <f>3653.1+23986.32</f>
        <v>27639.42</v>
      </c>
      <c r="F26" s="15">
        <f>2192.72+23933.18</f>
        <v>26125.9</v>
      </c>
      <c r="G26" s="100">
        <f t="shared" si="19"/>
        <v>23843.030000000006</v>
      </c>
      <c r="H26" s="83">
        <v>0</v>
      </c>
      <c r="I26" s="97">
        <f t="shared" si="20"/>
        <v>23843.030000000006</v>
      </c>
      <c r="J26" s="1">
        <v>6627.98</v>
      </c>
      <c r="K26" s="1">
        <v>2484.19</v>
      </c>
      <c r="L26" s="101">
        <f t="shared" si="21"/>
        <v>728858.06999999972</v>
      </c>
      <c r="M26" s="121">
        <v>500</v>
      </c>
      <c r="N26" s="1">
        <v>0</v>
      </c>
      <c r="O26" s="1">
        <f>M26-N26</f>
        <v>500</v>
      </c>
      <c r="P26" s="2">
        <f t="shared" si="14"/>
        <v>729358.06999999972</v>
      </c>
      <c r="Q26" s="8" t="s">
        <v>39</v>
      </c>
      <c r="R26" s="14">
        <v>193823.08</v>
      </c>
      <c r="S26" s="11">
        <v>126550.18</v>
      </c>
      <c r="T26" s="14">
        <v>178279.28</v>
      </c>
      <c r="U26" s="11">
        <v>60323.21</v>
      </c>
      <c r="V26" s="102">
        <f t="shared" si="22"/>
        <v>57927.740000000013</v>
      </c>
      <c r="W26" s="114"/>
      <c r="X26" s="92" t="s">
        <v>39</v>
      </c>
      <c r="Y26" s="242">
        <f t="shared" si="7"/>
        <v>-11619.642489155443</v>
      </c>
      <c r="Z26" s="243"/>
      <c r="AA26" s="1">
        <v>2202.11</v>
      </c>
      <c r="AB26" s="1"/>
      <c r="AC26" s="1">
        <v>0</v>
      </c>
      <c r="AD26" s="1">
        <v>1901.57</v>
      </c>
      <c r="AE26" s="1">
        <v>0</v>
      </c>
      <c r="AF26" s="1">
        <v>4923.08</v>
      </c>
      <c r="AG26" s="1">
        <v>3296.37</v>
      </c>
      <c r="AH26" s="1">
        <v>330.16</v>
      </c>
      <c r="AI26" s="1">
        <v>0</v>
      </c>
      <c r="AJ26" s="1">
        <v>2129.33</v>
      </c>
      <c r="AK26" s="1">
        <f>1123.74+610.07+702.34+406.71</f>
        <v>2842.86</v>
      </c>
      <c r="AL26" s="1">
        <f t="shared" si="8"/>
        <v>2386.0248999999999</v>
      </c>
      <c r="AM26" s="1">
        <f t="shared" si="9"/>
        <v>3340.4348599999994</v>
      </c>
      <c r="AN26" s="1">
        <v>0</v>
      </c>
      <c r="AO26" s="1">
        <f t="shared" si="10"/>
        <v>2861.009</v>
      </c>
      <c r="AP26" s="1">
        <v>0</v>
      </c>
      <c r="AQ26" s="101">
        <f t="shared" si="11"/>
        <v>26212.948759999999</v>
      </c>
      <c r="AR26" s="102">
        <f t="shared" si="6"/>
        <v>-37832.591249155441</v>
      </c>
      <c r="AS26" s="1"/>
      <c r="AT26" s="2">
        <f t="shared" si="12"/>
        <v>-37832.591249155441</v>
      </c>
      <c r="AU26" s="2">
        <f t="shared" si="13"/>
        <v>-37832.591249155441</v>
      </c>
      <c r="AW26" s="1" t="s">
        <v>39</v>
      </c>
      <c r="AX26" s="102">
        <f t="shared" si="15"/>
        <v>-40229.732489155445</v>
      </c>
      <c r="AY26" s="101">
        <f t="shared" si="16"/>
        <v>28610.09</v>
      </c>
      <c r="AZ26" s="102">
        <f t="shared" si="23"/>
        <v>26212.948759999999</v>
      </c>
      <c r="BA26" s="123"/>
      <c r="BB26" s="121"/>
      <c r="BC26" s="122"/>
      <c r="BD26" s="102">
        <f t="shared" si="17"/>
        <v>-37832.591249155448</v>
      </c>
    </row>
    <row r="27" spans="1:56" ht="22.5" customHeight="1" x14ac:dyDescent="0.25">
      <c r="A27" s="92" t="s">
        <v>150</v>
      </c>
      <c r="B27" s="83">
        <f t="shared" si="24"/>
        <v>23843.030000000006</v>
      </c>
      <c r="C27" s="98">
        <f t="shared" si="18"/>
        <v>23843.030000000006</v>
      </c>
      <c r="D27" s="3">
        <v>0</v>
      </c>
      <c r="E27" s="15">
        <f>3653.1+23987.03</f>
        <v>27640.129999999997</v>
      </c>
      <c r="F27" s="15">
        <f>4353.54+25999.78</f>
        <v>30353.32</v>
      </c>
      <c r="G27" s="100">
        <f t="shared" si="19"/>
        <v>21129.840000000004</v>
      </c>
      <c r="H27" s="83">
        <v>0</v>
      </c>
      <c r="I27" s="84">
        <f t="shared" si="20"/>
        <v>21129.840000000004</v>
      </c>
      <c r="J27" s="1">
        <f>1201.27+906.73+376.19+543.92+1936.37+1663.5</f>
        <v>6627.98</v>
      </c>
      <c r="K27" s="1">
        <f>1201.27+906.73+376.19+543.92+3872.74</f>
        <v>6900.85</v>
      </c>
      <c r="L27" s="101">
        <f t="shared" si="21"/>
        <v>728585.19999999972</v>
      </c>
      <c r="M27" s="1">
        <v>593.08000000000004</v>
      </c>
      <c r="N27" s="1"/>
      <c r="O27" s="1">
        <f t="shared" ref="O27:O32" si="25">O26+M27-N27</f>
        <v>1093.08</v>
      </c>
      <c r="P27" s="2">
        <f t="shared" si="14"/>
        <v>729678.27999999968</v>
      </c>
      <c r="Q27" s="8" t="s">
        <v>40</v>
      </c>
      <c r="R27" s="14">
        <f>581927.76</f>
        <v>581927.76</v>
      </c>
      <c r="S27" s="11">
        <v>132561.66</v>
      </c>
      <c r="T27" s="14">
        <f>109132.11</f>
        <v>109132.11</v>
      </c>
      <c r="U27" s="11">
        <v>68273.570000000007</v>
      </c>
      <c r="V27" s="102">
        <f t="shared" si="22"/>
        <v>515953.89999999997</v>
      </c>
      <c r="W27" s="116"/>
      <c r="X27" s="92" t="s">
        <v>40</v>
      </c>
      <c r="Y27" s="242">
        <f t="shared" si="7"/>
        <v>-578.42124915544082</v>
      </c>
      <c r="Z27" s="243"/>
      <c r="AA27" s="1">
        <v>2202.11</v>
      </c>
      <c r="AB27" s="1"/>
      <c r="AC27" s="1">
        <v>0</v>
      </c>
      <c r="AD27" s="1">
        <v>1901.57</v>
      </c>
      <c r="AE27" s="1">
        <v>0</v>
      </c>
      <c r="AF27" s="1">
        <v>4923.08</v>
      </c>
      <c r="AG27" s="1">
        <v>3296.37</v>
      </c>
      <c r="AH27" s="1">
        <v>330.16</v>
      </c>
      <c r="AI27" s="1">
        <v>0</v>
      </c>
      <c r="AJ27" s="1">
        <v>2129.33</v>
      </c>
      <c r="AK27" s="1"/>
      <c r="AL27" s="1">
        <f t="shared" ref="AL27:AL32" si="26">(T27+U27)*1%</f>
        <v>1774.0568000000001</v>
      </c>
      <c r="AM27" s="1">
        <f t="shared" si="9"/>
        <v>2483.6795199999997</v>
      </c>
      <c r="AN27" s="1">
        <v>0</v>
      </c>
      <c r="AO27" s="1">
        <f t="shared" si="10"/>
        <v>3725.4169999999999</v>
      </c>
      <c r="AP27" s="1">
        <v>0</v>
      </c>
      <c r="AQ27" s="101">
        <f t="shared" si="11"/>
        <v>22765.77332</v>
      </c>
      <c r="AR27" s="102">
        <f t="shared" si="6"/>
        <v>-23344.194569155443</v>
      </c>
      <c r="AS27" s="1"/>
      <c r="AT27" s="2">
        <f t="shared" si="12"/>
        <v>-23344.194569155443</v>
      </c>
      <c r="AU27" s="2">
        <f t="shared" si="13"/>
        <v>-23344.194569155443</v>
      </c>
      <c r="AW27" s="1" t="s">
        <v>40</v>
      </c>
      <c r="AX27" s="102">
        <f t="shared" si="15"/>
        <v>-37832.591249155441</v>
      </c>
      <c r="AY27" s="101">
        <f t="shared" si="16"/>
        <v>37254.17</v>
      </c>
      <c r="AZ27" s="102">
        <f t="shared" si="23"/>
        <v>22765.77332</v>
      </c>
      <c r="BA27" s="1"/>
      <c r="BB27" s="1"/>
      <c r="BC27" s="1"/>
      <c r="BD27" s="102">
        <f t="shared" si="17"/>
        <v>-23344.194569155443</v>
      </c>
    </row>
    <row r="28" spans="1:56" ht="12.95" customHeight="1" x14ac:dyDescent="0.25">
      <c r="A28" s="92" t="s">
        <v>154</v>
      </c>
      <c r="B28" s="83">
        <f t="shared" si="24"/>
        <v>21129.840000000004</v>
      </c>
      <c r="C28" s="98">
        <f t="shared" si="18"/>
        <v>21129.840000000004</v>
      </c>
      <c r="D28" s="3">
        <v>0</v>
      </c>
      <c r="E28" s="15">
        <f>3653.1+23987.03</f>
        <v>27640.129999999997</v>
      </c>
      <c r="F28" s="15">
        <f>2708.19+22814.34</f>
        <v>25522.53</v>
      </c>
      <c r="G28" s="100">
        <f t="shared" si="19"/>
        <v>23247.440000000002</v>
      </c>
      <c r="H28" s="83">
        <v>0</v>
      </c>
      <c r="I28" s="84">
        <f t="shared" si="20"/>
        <v>23247.440000000002</v>
      </c>
      <c r="J28" s="1">
        <f>1201.27+906.73+376.19+543.92+1936.37</f>
        <v>4964.4799999999996</v>
      </c>
      <c r="K28" s="1">
        <f>1201.27+906.73+376.19+543.92+1936.37</f>
        <v>4964.4799999999996</v>
      </c>
      <c r="L28" s="101">
        <f t="shared" si="21"/>
        <v>728585.19999999972</v>
      </c>
      <c r="M28" s="1">
        <v>593.08000000000004</v>
      </c>
      <c r="N28" s="1">
        <v>0</v>
      </c>
      <c r="O28" s="1">
        <f t="shared" si="25"/>
        <v>1686.1599999999999</v>
      </c>
      <c r="P28" s="2">
        <f t="shared" si="14"/>
        <v>730271.35999999975</v>
      </c>
      <c r="Q28" s="8" t="s">
        <v>41</v>
      </c>
      <c r="R28" s="14">
        <f>214386.86-1737</f>
        <v>212649.86</v>
      </c>
      <c r="S28" s="11">
        <v>139755.82999999999</v>
      </c>
      <c r="T28" s="14">
        <v>91696.61</v>
      </c>
      <c r="U28" s="11">
        <v>56725.78</v>
      </c>
      <c r="V28" s="102">
        <f t="shared" si="22"/>
        <v>180735.85999999996</v>
      </c>
      <c r="W28" s="116"/>
      <c r="X28" s="92" t="s">
        <v>41</v>
      </c>
      <c r="Y28" s="242">
        <f t="shared" si="7"/>
        <v>7142.8154308445555</v>
      </c>
      <c r="Z28" s="243"/>
      <c r="AA28" s="1">
        <v>2202.11</v>
      </c>
      <c r="AB28" s="1"/>
      <c r="AC28" s="1">
        <v>0</v>
      </c>
      <c r="AD28" s="1">
        <v>1901.57</v>
      </c>
      <c r="AE28" s="1">
        <v>0</v>
      </c>
      <c r="AF28" s="1">
        <v>4923.08</v>
      </c>
      <c r="AG28" s="1">
        <v>3296.37</v>
      </c>
      <c r="AH28" s="1">
        <v>330.16</v>
      </c>
      <c r="AI28" s="1">
        <v>0</v>
      </c>
      <c r="AJ28" s="1">
        <v>2129.33</v>
      </c>
      <c r="AK28" s="1"/>
      <c r="AL28" s="1">
        <f t="shared" si="26"/>
        <v>1484.2239000000002</v>
      </c>
      <c r="AM28" s="1">
        <f t="shared" si="9"/>
        <v>2077.9134599999998</v>
      </c>
      <c r="AN28" s="1"/>
      <c r="AO28" s="1">
        <f t="shared" si="10"/>
        <v>3048.701</v>
      </c>
      <c r="AP28" s="1"/>
      <c r="AQ28" s="101">
        <f t="shared" si="11"/>
        <v>21393.458360000004</v>
      </c>
      <c r="AR28" s="102">
        <f t="shared" si="6"/>
        <v>-14250.642929155449</v>
      </c>
      <c r="AS28" s="1"/>
      <c r="AT28" s="2">
        <f t="shared" si="12"/>
        <v>-14250.642929155449</v>
      </c>
      <c r="AU28" s="2">
        <f t="shared" si="13"/>
        <v>-14250.642929155449</v>
      </c>
      <c r="AW28" s="1" t="s">
        <v>41</v>
      </c>
      <c r="AX28" s="102">
        <f t="shared" si="15"/>
        <v>-23344.194569155443</v>
      </c>
      <c r="AY28" s="101">
        <f t="shared" si="16"/>
        <v>30487.01</v>
      </c>
      <c r="AZ28" s="102">
        <f t="shared" si="23"/>
        <v>21393.458360000004</v>
      </c>
      <c r="BA28" s="1"/>
      <c r="BB28" s="1"/>
      <c r="BC28" s="1"/>
      <c r="BD28" s="102">
        <f t="shared" si="17"/>
        <v>-14250.642929155449</v>
      </c>
    </row>
    <row r="29" spans="1:56" ht="12.95" customHeight="1" x14ac:dyDescent="0.25">
      <c r="A29" s="92" t="s">
        <v>30</v>
      </c>
      <c r="B29" s="83">
        <f t="shared" si="24"/>
        <v>23247.440000000002</v>
      </c>
      <c r="C29" s="98">
        <f>G28</f>
        <v>23247.440000000002</v>
      </c>
      <c r="D29" s="3">
        <v>0</v>
      </c>
      <c r="E29" s="15">
        <f>3653.1+23987.03+9330</f>
        <v>36970.129999999997</v>
      </c>
      <c r="F29" s="15">
        <f>9142.81+3447.63+23653.37</f>
        <v>36243.81</v>
      </c>
      <c r="G29" s="100">
        <f t="shared" si="19"/>
        <v>23973.760000000002</v>
      </c>
      <c r="H29" s="83">
        <v>0</v>
      </c>
      <c r="I29" s="84">
        <f t="shared" si="20"/>
        <v>23973.760000000002</v>
      </c>
      <c r="J29" s="101">
        <v>6627.98</v>
      </c>
      <c r="K29" s="101">
        <v>9389.43</v>
      </c>
      <c r="L29" s="101">
        <f t="shared" si="21"/>
        <v>725823.74999999965</v>
      </c>
      <c r="M29" s="1">
        <v>593.08000000000004</v>
      </c>
      <c r="N29" s="1">
        <v>879.24</v>
      </c>
      <c r="O29" s="1">
        <f t="shared" si="25"/>
        <v>1399.9999999999998</v>
      </c>
      <c r="P29" s="2">
        <f>L29+O29</f>
        <v>727223.74999999965</v>
      </c>
      <c r="Q29" s="8" t="s">
        <v>42</v>
      </c>
      <c r="R29" s="14">
        <f>209131.45-3613.64</f>
        <v>205517.81</v>
      </c>
      <c r="S29" s="11">
        <v>139282.01999999999</v>
      </c>
      <c r="T29" s="14">
        <v>93503.34</v>
      </c>
      <c r="U29" s="11">
        <v>125004.63</v>
      </c>
      <c r="V29" s="102">
        <f t="shared" si="22"/>
        <v>102318.09999999995</v>
      </c>
      <c r="W29" s="116"/>
      <c r="X29" s="92" t="s">
        <v>42</v>
      </c>
      <c r="Y29" s="242">
        <f t="shared" si="7"/>
        <v>32261.837070844551</v>
      </c>
      <c r="Z29" s="243"/>
      <c r="AA29" s="1">
        <v>2957.61</v>
      </c>
      <c r="AB29" s="1">
        <v>9330</v>
      </c>
      <c r="AC29" s="1">
        <v>0</v>
      </c>
      <c r="AD29" s="1">
        <v>1901.57</v>
      </c>
      <c r="AE29" s="1">
        <v>0</v>
      </c>
      <c r="AF29" s="1">
        <v>4923.08</v>
      </c>
      <c r="AG29" s="1">
        <v>3296.37</v>
      </c>
      <c r="AH29" s="1">
        <v>330.16</v>
      </c>
      <c r="AI29" s="1">
        <v>0</v>
      </c>
      <c r="AJ29" s="1">
        <v>2138.13</v>
      </c>
      <c r="AK29" s="101">
        <v>632.1</v>
      </c>
      <c r="AL29" s="1">
        <f t="shared" si="26"/>
        <v>2185.0797000000002</v>
      </c>
      <c r="AM29" s="1">
        <f t="shared" si="9"/>
        <v>3059.1115799999998</v>
      </c>
      <c r="AN29" s="1"/>
      <c r="AO29" s="1">
        <f t="shared" si="10"/>
        <v>4651.2479999999996</v>
      </c>
      <c r="AP29" s="1"/>
      <c r="AQ29" s="101">
        <f>SUM(AA29:AP29)</f>
        <v>35404.459279999995</v>
      </c>
      <c r="AR29" s="102">
        <f>Y29-AQ29</f>
        <v>-3142.6222091554446</v>
      </c>
      <c r="AS29" s="1"/>
      <c r="AT29" s="2">
        <f>AR29-AS29</f>
        <v>-3142.6222091554446</v>
      </c>
      <c r="AU29" s="2">
        <f t="shared" si="13"/>
        <v>-3142.6222091554446</v>
      </c>
      <c r="AW29" s="1" t="s">
        <v>42</v>
      </c>
      <c r="AX29" s="102">
        <f>AU28</f>
        <v>-14250.642929155449</v>
      </c>
      <c r="AY29" s="101">
        <f>F29+K29+N29</f>
        <v>46512.479999999996</v>
      </c>
      <c r="AZ29" s="102">
        <f>AQ29</f>
        <v>35404.459279999995</v>
      </c>
      <c r="BA29" s="1"/>
      <c r="BB29" s="1"/>
      <c r="BC29" s="1"/>
      <c r="BD29" s="102">
        <f>AX29+AY29-AZ29-BB29</f>
        <v>-3142.6222091554482</v>
      </c>
    </row>
    <row r="30" spans="1:56" ht="12.95" customHeight="1" x14ac:dyDescent="0.25">
      <c r="A30" s="92" t="s">
        <v>31</v>
      </c>
      <c r="B30" s="83">
        <f t="shared" si="24"/>
        <v>23973.760000000002</v>
      </c>
      <c r="C30" s="98">
        <f>G29</f>
        <v>23973.760000000002</v>
      </c>
      <c r="D30" s="3">
        <v>0</v>
      </c>
      <c r="E30" s="15">
        <f>3653.1+23987.03+9330</f>
        <v>36970.129999999997</v>
      </c>
      <c r="F30" s="15">
        <f>9026.53+2820.28+23890.31</f>
        <v>35737.120000000003</v>
      </c>
      <c r="G30" s="100">
        <f t="shared" si="19"/>
        <v>25206.769999999997</v>
      </c>
      <c r="H30" s="83">
        <v>0</v>
      </c>
      <c r="I30" s="84">
        <f t="shared" si="20"/>
        <v>25206.769999999997</v>
      </c>
      <c r="J30" s="1">
        <f>1201.27+906.73+376.19+543.92+1936.37</f>
        <v>4964.4799999999996</v>
      </c>
      <c r="K30" s="1">
        <f>2402.54+906.73+752.38+1087.84</f>
        <v>5149.49</v>
      </c>
      <c r="L30" s="101">
        <f t="shared" si="21"/>
        <v>725638.73999999964</v>
      </c>
      <c r="M30" s="1">
        <v>593.08000000000004</v>
      </c>
      <c r="N30" s="1"/>
      <c r="O30" s="1">
        <f t="shared" si="25"/>
        <v>1993.08</v>
      </c>
      <c r="P30" s="2">
        <f>L30+O30</f>
        <v>727631.8199999996</v>
      </c>
      <c r="Q30" s="8" t="s">
        <v>43</v>
      </c>
      <c r="R30" s="14">
        <f>210371.75-3013.42</f>
        <v>207358.33</v>
      </c>
      <c r="S30" s="11">
        <v>218155.75</v>
      </c>
      <c r="T30" s="14">
        <f>95265.93</f>
        <v>95265.93</v>
      </c>
      <c r="U30" s="11">
        <v>122837.99</v>
      </c>
      <c r="V30" s="102">
        <f t="shared" si="22"/>
        <v>182203.38999999998</v>
      </c>
      <c r="W30" s="116"/>
      <c r="X30" s="92" t="s">
        <v>43</v>
      </c>
      <c r="Y30" s="242">
        <f>AU29+F30+K30+N30</f>
        <v>37743.987790844556</v>
      </c>
      <c r="Z30" s="243"/>
      <c r="AA30" s="1">
        <v>2957.61</v>
      </c>
      <c r="AB30" s="1">
        <v>9330</v>
      </c>
      <c r="AC30" s="1"/>
      <c r="AD30" s="1">
        <v>1901.57</v>
      </c>
      <c r="AE30" s="1">
        <v>0</v>
      </c>
      <c r="AF30" s="1">
        <v>4923.08</v>
      </c>
      <c r="AG30" s="1">
        <v>3296.37</v>
      </c>
      <c r="AH30" s="1">
        <v>330.16</v>
      </c>
      <c r="AI30" s="1">
        <v>0</v>
      </c>
      <c r="AJ30" s="1">
        <v>2138.13</v>
      </c>
      <c r="AK30" s="1"/>
      <c r="AL30" s="1">
        <f t="shared" si="26"/>
        <v>2181.0391999999997</v>
      </c>
      <c r="AM30" s="1">
        <f>(T30+U30)*1.4%</f>
        <v>3053.4548799999993</v>
      </c>
      <c r="AN30" s="1"/>
      <c r="AO30" s="1">
        <f t="shared" si="10"/>
        <v>4088.6610000000001</v>
      </c>
      <c r="AP30" s="1"/>
      <c r="AQ30" s="101">
        <f>SUM(AA30:AP30)</f>
        <v>34200.075080000002</v>
      </c>
      <c r="AR30" s="102">
        <f>Y30-AQ30</f>
        <v>3543.9127108445537</v>
      </c>
      <c r="AS30" s="1"/>
      <c r="AT30" s="2">
        <f>AR30-AS30</f>
        <v>3543.9127108445537</v>
      </c>
      <c r="AU30" s="2">
        <f>AT30</f>
        <v>3543.9127108445537</v>
      </c>
      <c r="AW30" s="1" t="s">
        <v>43</v>
      </c>
      <c r="AX30" s="102">
        <f>AU29</f>
        <v>-3142.6222091554446</v>
      </c>
      <c r="AY30" s="101">
        <f>F30+K30+N30</f>
        <v>40886.61</v>
      </c>
      <c r="AZ30" s="102">
        <f>AQ30</f>
        <v>34200.075080000002</v>
      </c>
      <c r="BA30" s="1"/>
      <c r="BB30" s="1"/>
      <c r="BC30" s="1"/>
      <c r="BD30" s="102">
        <f>AX30+AY30-AZ30-BB30</f>
        <v>3543.9127108445537</v>
      </c>
    </row>
    <row r="31" spans="1:56" s="103" customFormat="1" ht="12.95" customHeight="1" x14ac:dyDescent="0.25">
      <c r="A31" s="104" t="s">
        <v>32</v>
      </c>
      <c r="B31" s="97">
        <f t="shared" si="24"/>
        <v>25206.769999999997</v>
      </c>
      <c r="C31" s="98">
        <f>G30</f>
        <v>25206.769999999997</v>
      </c>
      <c r="D31" s="99">
        <v>0</v>
      </c>
      <c r="E31" s="100">
        <f>9330+3653.1+23987.03</f>
        <v>36970.129999999997</v>
      </c>
      <c r="F31" s="100">
        <f>8184.56+2192.97+22052.37</f>
        <v>32429.9</v>
      </c>
      <c r="G31" s="100">
        <f t="shared" si="19"/>
        <v>29746.999999999993</v>
      </c>
      <c r="H31" s="97"/>
      <c r="I31" s="97">
        <f t="shared" si="20"/>
        <v>29746.999999999993</v>
      </c>
      <c r="J31" s="101">
        <f>1201.27+906.73+376.19+543.92+1936.37</f>
        <v>4964.4799999999996</v>
      </c>
      <c r="K31" s="101">
        <f>1087.84+1936.37+1201.27+1813.46+376.19</f>
        <v>6415.1299999999992</v>
      </c>
      <c r="L31" s="101">
        <f t="shared" si="21"/>
        <v>724188.08999999962</v>
      </c>
      <c r="M31" s="101">
        <v>593.08000000000004</v>
      </c>
      <c r="N31" s="101">
        <v>1800</v>
      </c>
      <c r="O31" s="101">
        <f t="shared" si="25"/>
        <v>786.15999999999985</v>
      </c>
      <c r="P31" s="102">
        <f>L31+O31</f>
        <v>724974.24999999965</v>
      </c>
      <c r="Q31" s="93" t="s">
        <v>133</v>
      </c>
      <c r="R31" s="98">
        <f>216493.52-2998.54</f>
        <v>213494.97999999998</v>
      </c>
      <c r="S31" s="98">
        <v>228750.63</v>
      </c>
      <c r="T31" s="98">
        <v>88227.43</v>
      </c>
      <c r="U31" s="98">
        <v>121969.32</v>
      </c>
      <c r="V31" s="102">
        <f t="shared" si="22"/>
        <v>202301.86</v>
      </c>
      <c r="W31" s="116"/>
      <c r="X31" s="104" t="s">
        <v>133</v>
      </c>
      <c r="Y31" s="242">
        <f>AU30+F31+K31+N31</f>
        <v>44188.942710844552</v>
      </c>
      <c r="Z31" s="243"/>
      <c r="AA31" s="101">
        <v>2957.61</v>
      </c>
      <c r="AB31" s="101">
        <v>9330</v>
      </c>
      <c r="AC31" s="101"/>
      <c r="AD31" s="101">
        <v>1901.57</v>
      </c>
      <c r="AE31" s="101">
        <v>0</v>
      </c>
      <c r="AF31" s="101">
        <v>4923.08</v>
      </c>
      <c r="AG31" s="101">
        <v>3296.37</v>
      </c>
      <c r="AH31" s="101">
        <v>330.16</v>
      </c>
      <c r="AI31" s="101">
        <v>0</v>
      </c>
      <c r="AJ31" s="101">
        <v>2138.13</v>
      </c>
      <c r="AK31" s="101"/>
      <c r="AL31" s="101">
        <f t="shared" si="26"/>
        <v>2101.9675000000002</v>
      </c>
      <c r="AM31" s="101">
        <f>(T31+U31)*1.4%</f>
        <v>2942.7544999999996</v>
      </c>
      <c r="AN31" s="101"/>
      <c r="AO31" s="1">
        <f t="shared" si="10"/>
        <v>4064.5030000000002</v>
      </c>
      <c r="AP31" s="101"/>
      <c r="AQ31" s="101">
        <f>SUM(AA31:AP31)</f>
        <v>33986.144999999997</v>
      </c>
      <c r="AR31" s="102">
        <f>Y31-AQ31</f>
        <v>10202.797710844556</v>
      </c>
      <c r="AS31" s="101">
        <v>16112.97</v>
      </c>
      <c r="AT31" s="102">
        <f>AR31-AS31</f>
        <v>-5910.1722891554437</v>
      </c>
      <c r="AU31" s="102">
        <f>AT31</f>
        <v>-5910.1722891554437</v>
      </c>
      <c r="AW31" s="101" t="s">
        <v>133</v>
      </c>
      <c r="AX31" s="102">
        <f>AU30</f>
        <v>3543.9127108445537</v>
      </c>
      <c r="AY31" s="101">
        <f>F31+K31+N31</f>
        <v>40645.03</v>
      </c>
      <c r="AZ31" s="102">
        <f>AQ31</f>
        <v>33986.144999999997</v>
      </c>
      <c r="BA31" s="101" t="s">
        <v>156</v>
      </c>
      <c r="BB31" s="101">
        <f>4191.38+11921.59</f>
        <v>16112.970000000001</v>
      </c>
      <c r="BC31" s="101"/>
      <c r="BD31" s="102">
        <f>AX31+AY31-AZ31-BB31</f>
        <v>-5910.1722891554455</v>
      </c>
    </row>
    <row r="32" spans="1:56" ht="12.95" customHeight="1" x14ac:dyDescent="0.25">
      <c r="A32" s="92" t="s">
        <v>33</v>
      </c>
      <c r="B32" s="83">
        <f>G31</f>
        <v>29746.999999999993</v>
      </c>
      <c r="C32" s="98">
        <f>G31</f>
        <v>29746.999999999993</v>
      </c>
      <c r="D32" s="3">
        <v>0</v>
      </c>
      <c r="E32" s="15">
        <f>9330.96+3653.1+23989.87</f>
        <v>36973.93</v>
      </c>
      <c r="F32" s="15">
        <f>8702.58+3139.06+22639.41</f>
        <v>34481.050000000003</v>
      </c>
      <c r="G32" s="100">
        <f t="shared" si="19"/>
        <v>32239.87999999999</v>
      </c>
      <c r="H32" s="83"/>
      <c r="I32" s="84">
        <f t="shared" si="20"/>
        <v>32239.87999999999</v>
      </c>
      <c r="J32" s="1">
        <f>1201.27+906.73+376.19+543.92+2371.9</f>
        <v>5400.01</v>
      </c>
      <c r="K32" s="1">
        <v>0</v>
      </c>
      <c r="L32" s="101">
        <f t="shared" si="21"/>
        <v>729588.09999999963</v>
      </c>
      <c r="M32" s="1">
        <v>500</v>
      </c>
      <c r="N32" s="1">
        <v>879.24</v>
      </c>
      <c r="O32" s="1">
        <f t="shared" si="25"/>
        <v>406.91999999999985</v>
      </c>
      <c r="P32" s="2">
        <f>L32+O32</f>
        <v>729995.01999999967</v>
      </c>
      <c r="Q32" s="8" t="s">
        <v>127</v>
      </c>
      <c r="R32" s="14">
        <f>228296.22-2567.42</f>
        <v>225728.8</v>
      </c>
      <c r="S32" s="11">
        <v>238102.26</v>
      </c>
      <c r="T32" s="14">
        <f>91376.98</f>
        <v>91376.98</v>
      </c>
      <c r="U32" s="11">
        <f>121438.96</f>
        <v>121438.96</v>
      </c>
      <c r="V32" s="102">
        <f t="shared" si="22"/>
        <v>218775.24</v>
      </c>
      <c r="W32" s="116"/>
      <c r="X32" s="92" t="s">
        <v>127</v>
      </c>
      <c r="Y32" s="242">
        <f>AU31+F32+K32+N32</f>
        <v>29450.117710844559</v>
      </c>
      <c r="Z32" s="243"/>
      <c r="AA32" s="1">
        <v>2202.11</v>
      </c>
      <c r="AB32" s="1">
        <v>9330</v>
      </c>
      <c r="AC32" s="1"/>
      <c r="AD32" s="1">
        <v>1901.57</v>
      </c>
      <c r="AE32" s="1">
        <v>0</v>
      </c>
      <c r="AF32" s="1">
        <v>4923.08</v>
      </c>
      <c r="AG32" s="1">
        <v>3296.37</v>
      </c>
      <c r="AH32" s="1">
        <v>330.16</v>
      </c>
      <c r="AI32" s="1">
        <v>0</v>
      </c>
      <c r="AJ32" s="1">
        <v>2138.13</v>
      </c>
      <c r="AK32" s="1"/>
      <c r="AL32" s="1">
        <f t="shared" si="26"/>
        <v>2128.1594</v>
      </c>
      <c r="AM32" s="1">
        <f>(T32+U32)*1.4%</f>
        <v>2979.4231599999998</v>
      </c>
      <c r="AN32" s="1"/>
      <c r="AO32" s="1">
        <f>(F32+K32+N32)*7.5%</f>
        <v>2652.0217499999999</v>
      </c>
      <c r="AP32" s="1"/>
      <c r="AQ32" s="101">
        <f>SUM(AA32:AP32)</f>
        <v>31881.024310000001</v>
      </c>
      <c r="AR32" s="102">
        <f>Y32-AQ32</f>
        <v>-2430.9065991554417</v>
      </c>
      <c r="AS32" s="1"/>
      <c r="AT32" s="2">
        <f>AR32-AS32</f>
        <v>-2430.9065991554417</v>
      </c>
      <c r="AU32" s="2">
        <f>AT32</f>
        <v>-2430.9065991554417</v>
      </c>
      <c r="AW32" s="1" t="s">
        <v>127</v>
      </c>
      <c r="AX32" s="102">
        <f>AU31</f>
        <v>-5910.1722891554437</v>
      </c>
      <c r="AY32" s="101">
        <f>F32+K32+N32</f>
        <v>35360.29</v>
      </c>
      <c r="AZ32" s="102">
        <f>AQ32</f>
        <v>31881.024310000001</v>
      </c>
      <c r="BA32" s="1"/>
      <c r="BB32" s="1"/>
      <c r="BC32" s="1"/>
      <c r="BD32" s="102">
        <f>AX32+AY32-AZ32-BB32</f>
        <v>-2430.9065991554453</v>
      </c>
    </row>
    <row r="33" spans="1:56" ht="12.95" customHeight="1" x14ac:dyDescent="0.25">
      <c r="A33" s="92" t="s">
        <v>34</v>
      </c>
      <c r="B33" s="83"/>
      <c r="C33" s="14"/>
      <c r="D33" s="3"/>
      <c r="E33" s="15">
        <f>9330.96+3653.1+23989.87</f>
        <v>36973.93</v>
      </c>
      <c r="F33" s="15"/>
      <c r="G33" s="15"/>
      <c r="H33" s="83"/>
      <c r="I33" s="84"/>
      <c r="J33" s="1"/>
      <c r="K33" s="1"/>
      <c r="L33" s="1"/>
      <c r="M33" s="1"/>
      <c r="N33" s="1"/>
      <c r="O33" s="1"/>
      <c r="P33" s="2"/>
      <c r="Q33" s="8" t="s">
        <v>129</v>
      </c>
      <c r="R33" s="14">
        <f>244576.48-3687.98</f>
        <v>240888.5</v>
      </c>
      <c r="S33" s="11">
        <f>248321.98-0.01</f>
        <v>248321.97</v>
      </c>
      <c r="T33" s="14"/>
      <c r="U33" s="11"/>
      <c r="V33" s="102">
        <f t="shared" si="22"/>
        <v>489210.47</v>
      </c>
      <c r="W33" s="116"/>
      <c r="X33" s="92" t="s">
        <v>129</v>
      </c>
      <c r="Y33" s="242">
        <f>AU32+F33+K33+N33</f>
        <v>-2430.9065991554417</v>
      </c>
      <c r="Z33" s="24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2"/>
      <c r="AS33" s="1"/>
      <c r="AT33" s="1"/>
      <c r="AU33" s="1"/>
      <c r="AW33" s="1"/>
      <c r="AX33" s="1"/>
      <c r="AY33" s="1"/>
      <c r="AZ33" s="1"/>
      <c r="BA33" s="1"/>
      <c r="BB33" s="1"/>
      <c r="BC33" s="1"/>
      <c r="BD33" s="1"/>
    </row>
    <row r="34" spans="1:56" ht="12.95" customHeight="1" x14ac:dyDescent="0.25">
      <c r="B34" s="77"/>
      <c r="C34" s="78"/>
      <c r="D34" s="79"/>
      <c r="E34" s="77"/>
      <c r="F34" s="77"/>
      <c r="G34" s="78"/>
      <c r="H34" s="78"/>
      <c r="I34" s="81"/>
      <c r="J34" s="69"/>
      <c r="K34" s="69"/>
      <c r="L34" s="69"/>
      <c r="M34" s="69"/>
      <c r="N34" s="69"/>
      <c r="O34" s="69"/>
      <c r="P34" s="69"/>
      <c r="Q34" s="10"/>
      <c r="R34" s="10"/>
      <c r="S34" s="10"/>
      <c r="T34" s="10"/>
      <c r="U34" s="9"/>
      <c r="V34" s="10"/>
      <c r="W34" s="115"/>
      <c r="Y34" s="70"/>
      <c r="Z34" s="71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117"/>
      <c r="AP34" s="117"/>
      <c r="AQ34" s="117"/>
      <c r="AR34" s="118"/>
      <c r="AS34" s="117"/>
      <c r="AT34" s="117"/>
      <c r="AU34" s="117"/>
    </row>
    <row r="35" spans="1:56" ht="12.95" customHeight="1" x14ac:dyDescent="0.25">
      <c r="Y35" s="89" t="s">
        <v>108</v>
      </c>
      <c r="Z35" s="90"/>
      <c r="AA35" s="91"/>
      <c r="AB35" s="91"/>
      <c r="AC35" s="72">
        <v>40087</v>
      </c>
      <c r="AD35" s="1">
        <v>13838</v>
      </c>
      <c r="AJ35">
        <v>194232.63999999998</v>
      </c>
      <c r="AK35" t="s">
        <v>116</v>
      </c>
      <c r="AO35" s="110"/>
      <c r="AP35" s="110"/>
      <c r="AQ35" s="110"/>
      <c r="AR35" s="110"/>
      <c r="AS35" s="110"/>
      <c r="AT35" s="110"/>
      <c r="AU35" s="110"/>
    </row>
    <row r="36" spans="1:56" ht="12.95" customHeight="1" x14ac:dyDescent="0.25">
      <c r="Y36" s="89" t="s">
        <v>109</v>
      </c>
      <c r="Z36" s="90"/>
      <c r="AA36" s="91"/>
      <c r="AB36" s="91"/>
      <c r="AC36" s="72">
        <v>39722</v>
      </c>
      <c r="AD36" s="1">
        <v>3257.31</v>
      </c>
      <c r="AF36" s="263" t="s">
        <v>134</v>
      </c>
      <c r="AG36" s="264"/>
      <c r="AH36" s="265"/>
      <c r="AI36" s="72">
        <v>40878</v>
      </c>
      <c r="AJ36" s="80">
        <v>46602.74</v>
      </c>
      <c r="AO36" s="110"/>
      <c r="AP36" s="110"/>
      <c r="AQ36" s="110"/>
      <c r="AR36" s="110"/>
      <c r="AS36" s="110"/>
      <c r="AT36" s="110"/>
      <c r="AU36" s="110"/>
    </row>
    <row r="37" spans="1:56" ht="12.95" customHeight="1" x14ac:dyDescent="0.25">
      <c r="Y37" s="89" t="s">
        <v>108</v>
      </c>
      <c r="Z37" s="90"/>
      <c r="AA37" s="91"/>
      <c r="AB37" s="91"/>
      <c r="AC37" s="72">
        <v>40483</v>
      </c>
      <c r="AD37" s="1">
        <v>5245.89</v>
      </c>
      <c r="AF37" s="89" t="s">
        <v>139</v>
      </c>
      <c r="AG37" s="90"/>
      <c r="AH37" s="91"/>
      <c r="AI37" s="72">
        <v>41244</v>
      </c>
      <c r="AJ37" s="80">
        <v>14008.98</v>
      </c>
      <c r="AO37" s="110"/>
      <c r="AP37" s="110"/>
      <c r="AQ37" s="110"/>
      <c r="AR37" s="110"/>
      <c r="AS37" s="110"/>
      <c r="AT37" s="110"/>
      <c r="AU37" s="110"/>
    </row>
    <row r="38" spans="1:56" ht="12.95" customHeight="1" x14ac:dyDescent="0.25">
      <c r="Y38" s="89" t="s">
        <v>110</v>
      </c>
      <c r="Z38" s="90"/>
      <c r="AA38" s="91"/>
      <c r="AB38" s="91"/>
      <c r="AC38" s="72">
        <v>40422</v>
      </c>
      <c r="AD38" s="1">
        <v>13130.44</v>
      </c>
      <c r="AF38" s="89" t="s">
        <v>142</v>
      </c>
      <c r="AG38" s="90"/>
      <c r="AH38" s="91"/>
      <c r="AI38" s="72">
        <v>41365</v>
      </c>
      <c r="AJ38" s="80">
        <v>65162.01</v>
      </c>
      <c r="AO38" s="110"/>
      <c r="AP38" s="110"/>
      <c r="AQ38" s="110"/>
      <c r="AR38" s="110"/>
      <c r="AS38" s="110"/>
      <c r="AT38" s="110"/>
      <c r="AU38" s="110"/>
    </row>
    <row r="39" spans="1:56" ht="12.95" customHeight="1" x14ac:dyDescent="0.25">
      <c r="Y39" s="89" t="s">
        <v>108</v>
      </c>
      <c r="Z39" s="90"/>
      <c r="AA39" s="91"/>
      <c r="AB39" s="91"/>
      <c r="AC39" s="72">
        <v>40483</v>
      </c>
      <c r="AD39" s="1">
        <v>10401.450000000001</v>
      </c>
      <c r="AF39" s="89" t="s">
        <v>143</v>
      </c>
      <c r="AG39" s="90"/>
      <c r="AH39" s="91"/>
      <c r="AI39" s="72">
        <v>41395</v>
      </c>
      <c r="AJ39" s="80">
        <v>31080.16</v>
      </c>
      <c r="AO39" s="110"/>
      <c r="AP39" s="110"/>
      <c r="AQ39" s="110"/>
      <c r="AR39" s="110"/>
      <c r="AS39" s="110"/>
      <c r="AT39" s="110"/>
      <c r="AU39" s="110"/>
      <c r="AW39" s="9"/>
      <c r="AX39" s="9"/>
      <c r="AY39" s="9"/>
      <c r="AZ39" s="9"/>
      <c r="BA39" s="9"/>
      <c r="BB39" s="9"/>
      <c r="BC39" s="9"/>
      <c r="BD39" s="9"/>
    </row>
    <row r="40" spans="1:56" ht="12.95" customHeight="1" x14ac:dyDescent="0.25">
      <c r="Y40" s="89" t="s">
        <v>114</v>
      </c>
      <c r="Z40" s="90"/>
      <c r="AA40" s="91"/>
      <c r="AB40" s="91"/>
      <c r="AC40" s="72">
        <v>40634</v>
      </c>
      <c r="AD40" s="80">
        <v>12600.02</v>
      </c>
      <c r="AF40" s="238" t="s">
        <v>153</v>
      </c>
      <c r="AG40" s="239"/>
      <c r="AH40" s="240"/>
      <c r="AI40" s="72">
        <v>41426</v>
      </c>
      <c r="AJ40" s="73">
        <v>32043.07</v>
      </c>
      <c r="AO40" s="110"/>
      <c r="AP40" s="110"/>
      <c r="AQ40" s="110"/>
      <c r="AR40" s="119"/>
      <c r="AS40" s="119"/>
      <c r="AT40" s="110"/>
      <c r="AU40" s="110"/>
      <c r="AW40" s="9"/>
      <c r="AX40" s="9"/>
      <c r="AY40" s="9"/>
      <c r="AZ40" s="110"/>
      <c r="BA40" s="9"/>
      <c r="BB40" s="9"/>
      <c r="BC40" s="9"/>
      <c r="BD40" s="9"/>
    </row>
    <row r="41" spans="1:56" ht="12.95" customHeight="1" x14ac:dyDescent="0.25">
      <c r="X41" s="92"/>
      <c r="Y41" s="89" t="s">
        <v>115</v>
      </c>
      <c r="Z41" s="90"/>
      <c r="AA41" s="91"/>
      <c r="AB41" s="91"/>
      <c r="AC41" s="72">
        <v>40725</v>
      </c>
      <c r="AD41" s="80">
        <v>48719.97</v>
      </c>
      <c r="AF41" s="238" t="s">
        <v>157</v>
      </c>
      <c r="AG41" s="239"/>
      <c r="AH41" s="240"/>
      <c r="AI41" s="72">
        <v>41609</v>
      </c>
      <c r="AJ41" s="73">
        <v>4191.38</v>
      </c>
      <c r="AO41" s="110"/>
      <c r="AP41" s="110"/>
      <c r="AQ41" s="110"/>
      <c r="AR41" s="110"/>
      <c r="AS41" s="119"/>
      <c r="AT41" s="110"/>
      <c r="AU41" s="110"/>
      <c r="AW41" s="9"/>
      <c r="AX41" s="9"/>
      <c r="AY41" s="9"/>
      <c r="AZ41" s="9"/>
      <c r="BA41" s="9"/>
      <c r="BB41" s="9"/>
      <c r="BC41" s="9"/>
      <c r="BD41" s="9"/>
    </row>
    <row r="42" spans="1:56" ht="12.95" customHeight="1" x14ac:dyDescent="0.25">
      <c r="X42" s="92"/>
      <c r="Y42" s="89" t="s">
        <v>108</v>
      </c>
      <c r="Z42" s="90"/>
      <c r="AA42" s="91"/>
      <c r="AB42" s="91"/>
      <c r="AC42" s="72">
        <v>40787</v>
      </c>
      <c r="AD42" s="80">
        <v>43959.99</v>
      </c>
      <c r="AF42" s="238" t="s">
        <v>158</v>
      </c>
      <c r="AG42" s="239"/>
      <c r="AH42" s="240"/>
      <c r="AI42" s="72">
        <v>41609</v>
      </c>
      <c r="AJ42" s="73">
        <v>11921.59</v>
      </c>
      <c r="AO42" s="110"/>
      <c r="AP42" s="110"/>
      <c r="AQ42" s="110"/>
      <c r="AR42" s="110"/>
      <c r="AS42" s="110"/>
      <c r="AT42" s="110"/>
      <c r="AU42" s="110"/>
      <c r="AW42" s="241"/>
      <c r="AX42" s="241"/>
      <c r="AY42" s="241"/>
      <c r="AZ42" s="237"/>
      <c r="BA42" s="237"/>
      <c r="BB42" s="237"/>
      <c r="BC42" s="241"/>
      <c r="BD42" s="241"/>
    </row>
    <row r="43" spans="1:56" ht="12.95" customHeight="1" x14ac:dyDescent="0.25">
      <c r="X43" s="92"/>
      <c r="Y43" s="89" t="s">
        <v>132</v>
      </c>
      <c r="Z43" s="90"/>
      <c r="AA43" s="91"/>
      <c r="AB43" s="91"/>
      <c r="AC43" s="72">
        <v>40817</v>
      </c>
      <c r="AD43" s="80">
        <v>26355.17</v>
      </c>
      <c r="AO43" s="110"/>
      <c r="AP43" s="110"/>
      <c r="AQ43" s="110"/>
      <c r="AR43" s="110"/>
      <c r="AS43" s="110"/>
      <c r="AT43" s="110"/>
      <c r="AU43" s="110"/>
      <c r="AW43" s="241"/>
      <c r="AX43" s="241"/>
      <c r="AY43" s="241"/>
      <c r="AZ43" s="237"/>
      <c r="BA43" s="237"/>
      <c r="BB43" s="237"/>
      <c r="BC43" s="241"/>
      <c r="BD43" s="241"/>
    </row>
    <row r="44" spans="1:56" ht="12.95" customHeight="1" x14ac:dyDescent="0.25">
      <c r="X44" s="92"/>
      <c r="Y44" s="89" t="s">
        <v>108</v>
      </c>
      <c r="Z44" s="90"/>
      <c r="AA44" s="91"/>
      <c r="AB44" s="91"/>
      <c r="AC44" s="72">
        <v>40787</v>
      </c>
      <c r="AD44" s="80">
        <v>16724.400000000001</v>
      </c>
      <c r="AJ44">
        <f>SUM(AJ35:AJ43)</f>
        <v>399242.57</v>
      </c>
      <c r="AO44" s="110"/>
      <c r="AP44" s="110"/>
      <c r="AQ44" s="110"/>
      <c r="AR44" s="110"/>
      <c r="AS44" s="110"/>
      <c r="AT44" s="110"/>
      <c r="AU44" s="110"/>
      <c r="AW44" s="241"/>
      <c r="AX44" s="241"/>
      <c r="AY44" s="241"/>
      <c r="AZ44" s="237"/>
      <c r="BA44" s="111"/>
      <c r="BB44" s="111"/>
      <c r="BC44" s="111"/>
      <c r="BD44" s="111"/>
    </row>
    <row r="45" spans="1:56" ht="12.95" customHeight="1" x14ac:dyDescent="0.25">
      <c r="X45" s="92"/>
      <c r="AD45">
        <v>194232.63999999998</v>
      </c>
      <c r="AO45" s="110"/>
      <c r="AP45" s="110"/>
      <c r="AQ45" s="110"/>
      <c r="AR45" s="110"/>
      <c r="AS45" s="110"/>
      <c r="AT45" s="110"/>
      <c r="AU45" s="120"/>
      <c r="AW45" s="9"/>
      <c r="AX45" s="9"/>
      <c r="AY45" s="9"/>
      <c r="AZ45" s="9"/>
      <c r="BA45" s="9"/>
      <c r="BB45" s="9"/>
      <c r="BC45" s="9"/>
      <c r="BD45" s="9"/>
    </row>
    <row r="46" spans="1:56" ht="12.95" customHeight="1" x14ac:dyDescent="0.25">
      <c r="AO46" s="9"/>
      <c r="AP46" s="9"/>
      <c r="AQ46" s="9"/>
      <c r="AR46" s="9"/>
      <c r="AS46" s="9"/>
      <c r="AT46" s="9"/>
      <c r="AU46" s="9"/>
      <c r="AW46" s="9"/>
      <c r="AX46" s="9"/>
      <c r="AY46" s="9"/>
      <c r="AZ46" s="9"/>
      <c r="BA46" s="9"/>
      <c r="BB46" s="9"/>
      <c r="BC46" s="9"/>
      <c r="BD46" s="9"/>
    </row>
    <row r="47" spans="1:56" ht="12.95" customHeight="1" x14ac:dyDescent="0.25"/>
    <row r="48" spans="1:56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12.95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.95" customHeight="1" x14ac:dyDescent="0.25"/>
    <row r="65" ht="12.95" customHeight="1" x14ac:dyDescent="0.25"/>
    <row r="66" ht="12.95" customHeight="1" x14ac:dyDescent="0.25"/>
  </sheetData>
  <mergeCells count="67">
    <mergeCell ref="AW3:AW6"/>
    <mergeCell ref="Y22:Z22"/>
    <mergeCell ref="Y23:Z23"/>
    <mergeCell ref="Y24:Z24"/>
    <mergeCell ref="Y25:Z25"/>
    <mergeCell ref="Y26:Z26"/>
    <mergeCell ref="Y21:Z21"/>
    <mergeCell ref="AU2:AU3"/>
    <mergeCell ref="AT2:AT3"/>
    <mergeCell ref="Y12:Z12"/>
    <mergeCell ref="Y8:Z8"/>
    <mergeCell ref="Y7:Z7"/>
    <mergeCell ref="AA2:AQ2"/>
    <mergeCell ref="Y16:Z16"/>
    <mergeCell ref="Y33:Z33"/>
    <mergeCell ref="AR2:AR3"/>
    <mergeCell ref="Y32:Z32"/>
    <mergeCell ref="AX3:AX6"/>
    <mergeCell ref="Y29:Z29"/>
    <mergeCell ref="Y28:Z28"/>
    <mergeCell ref="Y13:Z13"/>
    <mergeCell ref="Y9:Z9"/>
    <mergeCell ref="Y10:Z10"/>
    <mergeCell ref="Y11:Z11"/>
    <mergeCell ref="Y14:Z14"/>
    <mergeCell ref="AS2:AS3"/>
    <mergeCell ref="Y27:Z27"/>
    <mergeCell ref="Y17:Z17"/>
    <mergeCell ref="Y18:Z18"/>
    <mergeCell ref="Y20:Z20"/>
    <mergeCell ref="Y30:Z30"/>
    <mergeCell ref="AZ42:BB42"/>
    <mergeCell ref="Y31:Z31"/>
    <mergeCell ref="AY3:AY6"/>
    <mergeCell ref="BC3:BD4"/>
    <mergeCell ref="AZ4:AZ6"/>
    <mergeCell ref="BA4:BB4"/>
    <mergeCell ref="AZ3:BB3"/>
    <mergeCell ref="Y4:Z4"/>
    <mergeCell ref="Y2:Z3"/>
    <mergeCell ref="Y15:Z15"/>
    <mergeCell ref="AF36:AH36"/>
    <mergeCell ref="AF41:AH41"/>
    <mergeCell ref="AF42:AH42"/>
    <mergeCell ref="AW42:AW44"/>
    <mergeCell ref="BC42:BD43"/>
    <mergeCell ref="AZ43:AZ44"/>
    <mergeCell ref="BA43:BB43"/>
    <mergeCell ref="AF40:AH40"/>
    <mergeCell ref="AX42:AX44"/>
    <mergeCell ref="AY42:AY44"/>
    <mergeCell ref="R4:S4"/>
    <mergeCell ref="T4:U4"/>
    <mergeCell ref="N2:N3"/>
    <mergeCell ref="O2:O3"/>
    <mergeCell ref="P2:P3"/>
    <mergeCell ref="R3:V3"/>
    <mergeCell ref="B2:D2"/>
    <mergeCell ref="E2:E3"/>
    <mergeCell ref="F2:F3"/>
    <mergeCell ref="H2:H3"/>
    <mergeCell ref="M2:M3"/>
    <mergeCell ref="G2:G3"/>
    <mergeCell ref="J2:J3"/>
    <mergeCell ref="K2:K3"/>
    <mergeCell ref="L2:L3"/>
    <mergeCell ref="I2:I3"/>
  </mergeCells>
  <phoneticPr fontId="12" type="noConversion"/>
  <pageMargins left="0" right="0" top="0" bottom="0" header="0.31496062992125984" footer="0.31496062992125984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59"/>
  <sheetViews>
    <sheetView topLeftCell="A31" workbookViewId="0">
      <pane xSplit="5" topLeftCell="Z1" activePane="topRight" state="frozen"/>
      <selection activeCell="A13" sqref="A13"/>
      <selection pane="topRight" activeCell="F13" sqref="F13"/>
    </sheetView>
  </sheetViews>
  <sheetFormatPr defaultRowHeight="12" x14ac:dyDescent="0.2"/>
  <cols>
    <col min="1" max="1" width="6.85546875" style="18" customWidth="1"/>
    <col min="2" max="4" width="9.140625" style="18"/>
    <col min="5" max="5" width="7.85546875" style="18" customWidth="1"/>
    <col min="6" max="6" width="8.7109375" style="18" customWidth="1"/>
    <col min="7" max="7" width="8.140625" style="18" customWidth="1"/>
    <col min="8" max="8" width="10.5703125" style="18" customWidth="1"/>
    <col min="9" max="9" width="4.7109375" style="18" customWidth="1"/>
    <col min="10" max="10" width="5.7109375" style="18" customWidth="1"/>
    <col min="11" max="11" width="4.28515625" style="18" customWidth="1"/>
    <col min="12" max="12" width="4" style="18" customWidth="1"/>
    <col min="13" max="13" width="5.5703125" style="18" customWidth="1"/>
    <col min="14" max="14" width="5.28515625" style="18" customWidth="1"/>
    <col min="15" max="15" width="4.42578125" style="18" customWidth="1"/>
    <col min="16" max="16" width="8.28515625" style="18" customWidth="1"/>
    <col min="17" max="17" width="4.140625" style="18" customWidth="1"/>
    <col min="18" max="18" width="7.7109375" style="18" customWidth="1"/>
    <col min="19" max="19" width="5.85546875" style="18" customWidth="1"/>
    <col min="20" max="20" width="6.85546875" style="18" customWidth="1"/>
    <col min="21" max="21" width="9.140625" style="18"/>
    <col min="22" max="22" width="8.140625" style="18" customWidth="1"/>
    <col min="23" max="23" width="9.5703125" style="18" customWidth="1"/>
    <col min="24" max="24" width="8.5703125" style="18" customWidth="1"/>
    <col min="25" max="25" width="6.42578125" style="18" customWidth="1"/>
    <col min="26" max="16384" width="9.140625" style="18"/>
  </cols>
  <sheetData>
    <row r="2" spans="1:30" ht="15" x14ac:dyDescent="0.25">
      <c r="A2" s="16"/>
      <c r="B2" s="17" t="s">
        <v>44</v>
      </c>
      <c r="C2" s="16"/>
      <c r="D2" s="16"/>
      <c r="K2" s="16"/>
      <c r="L2" s="16"/>
      <c r="W2" s="19" t="s">
        <v>45</v>
      </c>
      <c r="X2" s="20"/>
      <c r="Y2" s="20"/>
      <c r="Z2" s="20"/>
      <c r="AA2" s="20"/>
      <c r="AB2" s="20"/>
    </row>
    <row r="3" spans="1:30" x14ac:dyDescent="0.2">
      <c r="A3" s="16"/>
      <c r="B3" s="294" t="s">
        <v>46</v>
      </c>
      <c r="C3" s="294"/>
      <c r="D3" s="294"/>
      <c r="E3" s="294"/>
      <c r="F3" s="294"/>
      <c r="K3" s="16"/>
      <c r="L3" s="16"/>
      <c r="W3" s="20" t="s">
        <v>47</v>
      </c>
      <c r="X3" s="20"/>
      <c r="Y3" s="20"/>
      <c r="Z3" s="20"/>
      <c r="AA3" s="20"/>
      <c r="AB3" s="20"/>
    </row>
    <row r="4" spans="1:30" x14ac:dyDescent="0.2">
      <c r="A4" s="16"/>
      <c r="B4" s="16"/>
      <c r="C4" s="16"/>
      <c r="D4" s="16"/>
      <c r="K4" s="16"/>
      <c r="L4" s="16"/>
      <c r="W4" s="20"/>
      <c r="X4" s="20"/>
      <c r="Y4" s="20"/>
      <c r="Z4" s="20"/>
      <c r="AA4" s="20"/>
      <c r="AB4" s="20"/>
    </row>
    <row r="5" spans="1:30" x14ac:dyDescent="0.2">
      <c r="A5" s="16"/>
      <c r="B5" s="295"/>
      <c r="C5" s="295"/>
      <c r="D5" s="295"/>
      <c r="E5" s="296" t="s">
        <v>48</v>
      </c>
      <c r="F5" s="296"/>
      <c r="G5" s="296"/>
      <c r="K5" s="16"/>
      <c r="L5" s="16"/>
      <c r="W5" s="20" t="s">
        <v>49</v>
      </c>
      <c r="X5" s="20"/>
      <c r="Y5" s="20"/>
      <c r="Z5" s="20"/>
      <c r="AA5" s="20"/>
      <c r="AB5" s="20"/>
    </row>
    <row r="6" spans="1:30" x14ac:dyDescent="0.2">
      <c r="B6" s="297" t="s">
        <v>50</v>
      </c>
      <c r="C6" s="297"/>
      <c r="D6" s="297"/>
      <c r="E6" s="297"/>
      <c r="F6" s="297"/>
      <c r="G6" s="297"/>
    </row>
    <row r="8" spans="1:30" ht="15.75" x14ac:dyDescent="0.25">
      <c r="B8" s="298" t="s">
        <v>51</v>
      </c>
      <c r="C8" s="298"/>
      <c r="D8" s="298"/>
      <c r="E8" s="298"/>
      <c r="F8" s="298"/>
      <c r="G8" s="298"/>
      <c r="H8" s="298"/>
      <c r="I8" s="298"/>
      <c r="J8" s="298"/>
      <c r="K8" s="298"/>
      <c r="L8" s="298"/>
      <c r="M8" s="298"/>
      <c r="N8" s="298"/>
      <c r="O8" s="298"/>
      <c r="P8" s="298"/>
      <c r="Q8" s="298"/>
      <c r="R8" s="298"/>
      <c r="S8" s="298"/>
      <c r="T8" s="298"/>
      <c r="U8" s="298"/>
      <c r="V8" s="298"/>
      <c r="W8" s="298"/>
      <c r="X8" s="298"/>
      <c r="Y8" s="298"/>
      <c r="Z8" s="298"/>
    </row>
    <row r="10" spans="1:30" ht="45" customHeight="1" x14ac:dyDescent="0.2">
      <c r="A10" s="303" t="s">
        <v>52</v>
      </c>
      <c r="B10" s="305" t="s">
        <v>53</v>
      </c>
      <c r="C10" s="306"/>
      <c r="D10" s="307"/>
      <c r="E10" s="299" t="s">
        <v>54</v>
      </c>
      <c r="F10" s="299" t="s">
        <v>55</v>
      </c>
      <c r="G10" s="299" t="s">
        <v>56</v>
      </c>
      <c r="H10" s="299" t="s">
        <v>57</v>
      </c>
      <c r="I10" s="282" t="s">
        <v>58</v>
      </c>
      <c r="J10" s="283"/>
      <c r="K10" s="283"/>
      <c r="L10" s="288" t="s">
        <v>59</v>
      </c>
      <c r="M10" s="289"/>
      <c r="N10" s="290"/>
      <c r="O10" s="291" t="s">
        <v>60</v>
      </c>
      <c r="P10" s="292"/>
      <c r="Q10" s="293"/>
      <c r="R10" s="299" t="s">
        <v>61</v>
      </c>
      <c r="S10" s="299" t="s">
        <v>62</v>
      </c>
      <c r="T10" s="299" t="s">
        <v>63</v>
      </c>
      <c r="U10" s="280" t="s">
        <v>64</v>
      </c>
      <c r="V10" s="280" t="s">
        <v>65</v>
      </c>
      <c r="W10" s="280" t="s">
        <v>66</v>
      </c>
      <c r="X10" s="280" t="s">
        <v>67</v>
      </c>
      <c r="Y10" s="299" t="s">
        <v>68</v>
      </c>
      <c r="Z10" s="301" t="s">
        <v>69</v>
      </c>
    </row>
    <row r="11" spans="1:30" ht="96" customHeight="1" x14ac:dyDescent="0.2">
      <c r="A11" s="304"/>
      <c r="B11" s="308"/>
      <c r="C11" s="309"/>
      <c r="D11" s="310"/>
      <c r="E11" s="300"/>
      <c r="F11" s="300"/>
      <c r="G11" s="300"/>
      <c r="H11" s="300"/>
      <c r="I11" s="21" t="s">
        <v>70</v>
      </c>
      <c r="J11" s="21" t="s">
        <v>71</v>
      </c>
      <c r="K11" s="21" t="s">
        <v>72</v>
      </c>
      <c r="L11" s="21" t="s">
        <v>70</v>
      </c>
      <c r="M11" s="21" t="s">
        <v>71</v>
      </c>
      <c r="N11" s="21" t="s">
        <v>72</v>
      </c>
      <c r="O11" s="21" t="s">
        <v>70</v>
      </c>
      <c r="P11" s="21" t="s">
        <v>71</v>
      </c>
      <c r="Q11" s="21" t="s">
        <v>72</v>
      </c>
      <c r="R11" s="300"/>
      <c r="S11" s="300"/>
      <c r="T11" s="300"/>
      <c r="U11" s="281"/>
      <c r="V11" s="281"/>
      <c r="W11" s="281"/>
      <c r="X11" s="281"/>
      <c r="Y11" s="300"/>
      <c r="Z11" s="302"/>
      <c r="AB11" s="22" t="s">
        <v>73</v>
      </c>
      <c r="AC11" s="22" t="s">
        <v>74</v>
      </c>
      <c r="AD11" s="22" t="s">
        <v>75</v>
      </c>
    </row>
    <row r="12" spans="1:30" x14ac:dyDescent="0.2">
      <c r="A12" s="23">
        <v>1</v>
      </c>
      <c r="B12" s="282">
        <v>2</v>
      </c>
      <c r="C12" s="283"/>
      <c r="D12" s="284"/>
      <c r="E12" s="24">
        <v>3</v>
      </c>
      <c r="F12" s="24">
        <v>4</v>
      </c>
      <c r="G12" s="24">
        <v>5</v>
      </c>
      <c r="H12" s="24">
        <v>6</v>
      </c>
      <c r="I12" s="25">
        <v>7</v>
      </c>
      <c r="J12" s="26">
        <v>8</v>
      </c>
      <c r="K12" s="26">
        <v>9</v>
      </c>
      <c r="L12" s="27">
        <v>10</v>
      </c>
      <c r="M12" s="27">
        <v>11</v>
      </c>
      <c r="N12" s="27">
        <v>12</v>
      </c>
      <c r="O12" s="27">
        <v>13</v>
      </c>
      <c r="P12" s="28">
        <v>14</v>
      </c>
      <c r="Q12" s="28">
        <v>15</v>
      </c>
      <c r="R12" s="28">
        <v>16</v>
      </c>
      <c r="S12" s="24">
        <v>17</v>
      </c>
      <c r="T12" s="24">
        <v>18</v>
      </c>
      <c r="U12" s="24">
        <v>19</v>
      </c>
      <c r="V12" s="24">
        <v>20</v>
      </c>
      <c r="W12" s="24">
        <v>21</v>
      </c>
      <c r="X12" s="24">
        <v>22</v>
      </c>
      <c r="Y12" s="28">
        <v>23</v>
      </c>
      <c r="Z12" s="28">
        <v>24</v>
      </c>
    </row>
    <row r="13" spans="1:30" x14ac:dyDescent="0.2">
      <c r="A13" s="23"/>
      <c r="B13" s="282"/>
      <c r="C13" s="283"/>
      <c r="D13" s="284"/>
      <c r="E13" s="24"/>
      <c r="F13" s="24"/>
      <c r="G13" s="24"/>
      <c r="H13" s="24"/>
      <c r="I13" s="25"/>
      <c r="J13" s="26"/>
      <c r="K13" s="26"/>
      <c r="L13" s="27"/>
      <c r="M13" s="27"/>
      <c r="N13" s="27"/>
      <c r="O13" s="27"/>
      <c r="P13" s="28"/>
      <c r="Q13" s="28"/>
      <c r="R13" s="28"/>
      <c r="S13" s="24"/>
      <c r="T13" s="24"/>
      <c r="U13" s="24"/>
      <c r="V13" s="24"/>
      <c r="W13" s="24"/>
      <c r="X13" s="24"/>
      <c r="Y13" s="28"/>
      <c r="Z13" s="28"/>
    </row>
    <row r="14" spans="1:30" ht="24.95" customHeight="1" x14ac:dyDescent="0.2">
      <c r="A14" s="25">
        <v>1</v>
      </c>
      <c r="B14" s="285" t="s">
        <v>76</v>
      </c>
      <c r="C14" s="286"/>
      <c r="D14" s="287"/>
      <c r="E14" s="24" t="s">
        <v>77</v>
      </c>
      <c r="F14" s="24"/>
      <c r="G14" s="24"/>
      <c r="H14" s="24"/>
      <c r="I14" s="25">
        <v>0</v>
      </c>
      <c r="J14" s="26">
        <v>3872.2</v>
      </c>
      <c r="K14" s="26">
        <v>0</v>
      </c>
      <c r="L14" s="23">
        <v>0</v>
      </c>
      <c r="M14" s="29">
        <v>0</v>
      </c>
      <c r="N14" s="29">
        <v>0</v>
      </c>
      <c r="O14" s="23">
        <f>L14*I14</f>
        <v>0</v>
      </c>
      <c r="P14" s="29">
        <v>22113.79</v>
      </c>
      <c r="Q14" s="23">
        <f>N14*K14</f>
        <v>0</v>
      </c>
      <c r="R14" s="30">
        <f>O14+P14+Q14</f>
        <v>22113.79</v>
      </c>
      <c r="S14" s="24"/>
      <c r="T14" s="31">
        <f>Z14/1.18/F23</f>
        <v>0.38720041322314047</v>
      </c>
      <c r="U14" s="24"/>
      <c r="V14" s="24"/>
      <c r="W14" s="24"/>
      <c r="X14" s="24"/>
      <c r="Y14" s="32">
        <v>0.08</v>
      </c>
      <c r="Z14" s="23">
        <f>R14*Y14</f>
        <v>1769.1032</v>
      </c>
      <c r="AB14" s="18">
        <f>AB16/Z16</f>
        <v>0.64190446754425845</v>
      </c>
    </row>
    <row r="15" spans="1:30" ht="24.95" customHeight="1" x14ac:dyDescent="0.2">
      <c r="A15" s="25"/>
      <c r="B15" s="285" t="s">
        <v>78</v>
      </c>
      <c r="C15" s="286"/>
      <c r="D15" s="287"/>
      <c r="E15" s="24"/>
      <c r="F15" s="24"/>
      <c r="G15" s="24"/>
      <c r="H15" s="24"/>
      <c r="I15" s="25"/>
      <c r="J15" s="26">
        <v>1566</v>
      </c>
      <c r="K15" s="26"/>
      <c r="L15" s="23"/>
      <c r="M15" s="29">
        <v>5.71</v>
      </c>
      <c r="N15" s="29"/>
      <c r="O15" s="23"/>
      <c r="P15" s="29"/>
      <c r="Q15" s="23"/>
      <c r="R15" s="30">
        <f>J15*M15</f>
        <v>8941.86</v>
      </c>
      <c r="S15" s="24"/>
      <c r="T15" s="31"/>
      <c r="U15" s="24"/>
      <c r="V15" s="24"/>
      <c r="W15" s="24"/>
      <c r="X15" s="24"/>
      <c r="Y15" s="32"/>
      <c r="Z15" s="23">
        <f>R15*8%</f>
        <v>715.3488000000001</v>
      </c>
    </row>
    <row r="16" spans="1:30" ht="24.95" customHeight="1" x14ac:dyDescent="0.2">
      <c r="A16" s="25">
        <v>2</v>
      </c>
      <c r="B16" s="285" t="s">
        <v>79</v>
      </c>
      <c r="C16" s="286"/>
      <c r="D16" s="287"/>
      <c r="E16" s="24"/>
      <c r="F16" s="24"/>
      <c r="G16" s="24"/>
      <c r="H16" s="24"/>
      <c r="I16" s="33"/>
      <c r="J16" s="34"/>
      <c r="K16" s="34"/>
      <c r="L16" s="28"/>
      <c r="M16" s="28"/>
      <c r="N16" s="28"/>
      <c r="O16" s="28"/>
      <c r="P16" s="28"/>
      <c r="Q16" s="28"/>
      <c r="R16" s="28"/>
      <c r="S16" s="24"/>
      <c r="T16" s="35">
        <f>T17+T19+T21+T23+T28</f>
        <v>3.2810000000000001</v>
      </c>
      <c r="U16" s="24"/>
      <c r="V16" s="24"/>
      <c r="W16" s="24"/>
      <c r="X16" s="24"/>
      <c r="Y16" s="28"/>
      <c r="Z16" s="36">
        <f>Z17+Z19+Z21+Z23+Z28+Z33+Z35+Z37+Z38+Z40+Z42+Z44+Z46+Z48</f>
        <v>22972.95122221818</v>
      </c>
      <c r="AB16" s="18">
        <f>R14-Z50-Z14</f>
        <v>14746.440022218181</v>
      </c>
    </row>
    <row r="17" spans="1:30" x14ac:dyDescent="0.2">
      <c r="A17" s="37">
        <v>2.1</v>
      </c>
      <c r="B17" s="271" t="s">
        <v>16</v>
      </c>
      <c r="C17" s="272"/>
      <c r="D17" s="273"/>
      <c r="E17" s="28" t="s">
        <v>80</v>
      </c>
      <c r="F17" s="28">
        <v>405.1</v>
      </c>
      <c r="G17" s="28">
        <v>3.52</v>
      </c>
      <c r="H17" s="36">
        <f>F17*G17*AA30</f>
        <v>2283.4354016319999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36">
        <v>3.52</v>
      </c>
      <c r="T17" s="36">
        <v>0.43</v>
      </c>
      <c r="U17" s="38">
        <f>F17/800</f>
        <v>0.50637500000000002</v>
      </c>
      <c r="V17" s="36">
        <f>W17/1.08/1.269</f>
        <v>721.25921100506866</v>
      </c>
      <c r="W17" s="36">
        <f>X17/1.65/1.4</f>
        <v>988.50017386666673</v>
      </c>
      <c r="X17" s="36">
        <f>H17</f>
        <v>2283.4354016319999</v>
      </c>
      <c r="Y17" s="28">
        <f>X17/F17</f>
        <v>5.6367203199999993</v>
      </c>
      <c r="Z17" s="36">
        <f>W17</f>
        <v>988.50017386666673</v>
      </c>
      <c r="AB17" s="18">
        <f>Z17/F17</f>
        <v>2.4401386666666669</v>
      </c>
      <c r="AC17" s="18">
        <f>V17/U17</f>
        <v>1424.3578593040111</v>
      </c>
      <c r="AD17" s="18">
        <f>AC17/3*8</f>
        <v>3798.2876248106963</v>
      </c>
    </row>
    <row r="18" spans="1:30" x14ac:dyDescent="0.2">
      <c r="A18" s="33"/>
      <c r="B18" s="271"/>
      <c r="C18" s="272"/>
      <c r="D18" s="273"/>
      <c r="E18" s="28"/>
      <c r="F18" s="28"/>
      <c r="G18" s="28"/>
      <c r="H18" s="3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36"/>
      <c r="U18" s="36"/>
      <c r="V18" s="36"/>
      <c r="W18" s="36"/>
      <c r="X18" s="36"/>
      <c r="Y18" s="28"/>
      <c r="Z18" s="28"/>
    </row>
    <row r="19" spans="1:30" x14ac:dyDescent="0.2">
      <c r="A19" s="33">
        <v>2.2000000000000002</v>
      </c>
      <c r="B19" s="271" t="s">
        <v>17</v>
      </c>
      <c r="C19" s="272"/>
      <c r="D19" s="273"/>
      <c r="E19" s="28" t="s">
        <v>81</v>
      </c>
      <c r="F19" s="28">
        <v>0</v>
      </c>
      <c r="G19" s="28">
        <v>37.5</v>
      </c>
      <c r="H19" s="36">
        <f>F19*G19*AA30</f>
        <v>0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>
        <v>37.5</v>
      </c>
      <c r="T19" s="36">
        <v>0.3</v>
      </c>
      <c r="U19" s="36">
        <f>F19/125</f>
        <v>0</v>
      </c>
      <c r="V19" s="36">
        <f>W19/1.08/1.269</f>
        <v>0</v>
      </c>
      <c r="W19" s="36">
        <f>X19/1.65/1.4</f>
        <v>0</v>
      </c>
      <c r="X19" s="36">
        <f>H19</f>
        <v>0</v>
      </c>
      <c r="Y19" s="28"/>
      <c r="Z19" s="39">
        <f>W19</f>
        <v>0</v>
      </c>
      <c r="AC19" s="18" t="e">
        <f>V19/U19</f>
        <v>#DIV/0!</v>
      </c>
      <c r="AD19" s="18" t="e">
        <f>AC19/3*8</f>
        <v>#DIV/0!</v>
      </c>
    </row>
    <row r="20" spans="1:30" x14ac:dyDescent="0.2">
      <c r="A20" s="33"/>
      <c r="B20" s="271"/>
      <c r="C20" s="272"/>
      <c r="D20" s="273"/>
      <c r="E20" s="28"/>
      <c r="F20" s="28"/>
      <c r="G20" s="28"/>
      <c r="H20" s="36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36"/>
      <c r="U20" s="36"/>
      <c r="V20" s="36"/>
      <c r="W20" s="36"/>
      <c r="X20" s="36"/>
      <c r="Y20" s="28"/>
      <c r="Z20" s="28"/>
    </row>
    <row r="21" spans="1:30" x14ac:dyDescent="0.2">
      <c r="A21" s="33">
        <v>2.2999999999999998</v>
      </c>
      <c r="B21" s="271" t="s">
        <v>18</v>
      </c>
      <c r="C21" s="272"/>
      <c r="D21" s="273"/>
      <c r="E21" s="28" t="s">
        <v>82</v>
      </c>
      <c r="F21" s="40">
        <v>4151.2</v>
      </c>
      <c r="G21" s="28">
        <v>0.97</v>
      </c>
      <c r="H21" s="36">
        <f>F21*G21*AA30</f>
        <v>6448.0621564239991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36">
        <v>0.97</v>
      </c>
      <c r="T21" s="36">
        <v>0.72</v>
      </c>
      <c r="U21" s="36">
        <f>F21/5000</f>
        <v>0.83023999999999998</v>
      </c>
      <c r="V21" s="36">
        <f>W21/1.08/1.269</f>
        <v>2036.7224840825734</v>
      </c>
      <c r="W21" s="36">
        <f>X21/1.65/1.4</f>
        <v>2791.3688988848485</v>
      </c>
      <c r="X21" s="36">
        <f>H21</f>
        <v>6448.0621564239991</v>
      </c>
      <c r="Y21" s="28"/>
      <c r="Z21" s="36">
        <f>W21</f>
        <v>2791.3688988848485</v>
      </c>
      <c r="AA21" s="41">
        <f>Z17+Z19+Z21</f>
        <v>3779.869072751515</v>
      </c>
      <c r="AC21" s="18">
        <f>V21/U21</f>
        <v>2453.1731596677751</v>
      </c>
      <c r="AD21" s="18">
        <f>AC21/3*8</f>
        <v>6541.7950924473998</v>
      </c>
    </row>
    <row r="22" spans="1:30" x14ac:dyDescent="0.2">
      <c r="A22" s="33"/>
      <c r="B22" s="271"/>
      <c r="C22" s="272"/>
      <c r="D22" s="273"/>
      <c r="E22" s="28"/>
      <c r="F22" s="28"/>
      <c r="G22" s="28"/>
      <c r="H22" s="36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36"/>
      <c r="U22" s="36"/>
      <c r="V22" s="36"/>
      <c r="W22" s="36"/>
      <c r="X22" s="36"/>
      <c r="Y22" s="28"/>
      <c r="Z22" s="28"/>
    </row>
    <row r="23" spans="1:30" x14ac:dyDescent="0.2">
      <c r="A23" s="33">
        <v>2.4</v>
      </c>
      <c r="B23" s="271" t="s">
        <v>83</v>
      </c>
      <c r="C23" s="272"/>
      <c r="D23" s="273"/>
      <c r="E23" s="28" t="s">
        <v>82</v>
      </c>
      <c r="F23" s="28">
        <v>3872</v>
      </c>
      <c r="G23" s="28">
        <v>1.8706</v>
      </c>
      <c r="H23" s="36">
        <f>F23*G23</f>
        <v>7242.9632000000001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36">
        <v>1.86</v>
      </c>
      <c r="T23" s="36">
        <v>1.08</v>
      </c>
      <c r="U23" s="36">
        <f>(1*10000+1*7700+1*7300)/3*4/56</f>
        <v>595.2380952380953</v>
      </c>
      <c r="V23" s="36">
        <f>W23/1.08/1.269</f>
        <v>2001.8289894833104</v>
      </c>
      <c r="W23" s="36">
        <f>X23/1.65/1.6</f>
        <v>2743.5466666666666</v>
      </c>
      <c r="X23" s="36">
        <f>H23</f>
        <v>7242.9632000000001</v>
      </c>
      <c r="Y23" s="28"/>
      <c r="Z23" s="36">
        <f>W23</f>
        <v>2743.5466666666666</v>
      </c>
      <c r="AC23" s="18">
        <f>V23/U23</f>
        <v>3.3630727023319609</v>
      </c>
      <c r="AD23" s="18">
        <f>AC23/3*8</f>
        <v>8.9681938728852284</v>
      </c>
    </row>
    <row r="24" spans="1:30" x14ac:dyDescent="0.2">
      <c r="A24" s="33"/>
      <c r="B24" s="271" t="s">
        <v>84</v>
      </c>
      <c r="C24" s="272"/>
      <c r="D24" s="273"/>
      <c r="E24" s="28"/>
      <c r="F24" s="28"/>
      <c r="G24" s="28"/>
      <c r="H24" s="36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30" x14ac:dyDescent="0.2">
      <c r="A25" s="33"/>
      <c r="B25" s="271" t="s">
        <v>85</v>
      </c>
      <c r="C25" s="272"/>
      <c r="D25" s="273"/>
      <c r="E25" s="28"/>
      <c r="F25" s="28"/>
      <c r="G25" s="28"/>
      <c r="H25" s="36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30" x14ac:dyDescent="0.2">
      <c r="A26" s="33"/>
      <c r="B26" s="271" t="s">
        <v>86</v>
      </c>
      <c r="C26" s="272"/>
      <c r="D26" s="273"/>
      <c r="E26" s="28"/>
      <c r="F26" s="28"/>
      <c r="G26" s="28"/>
      <c r="H26" s="36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30" x14ac:dyDescent="0.2">
      <c r="A27" s="33"/>
      <c r="B27" s="271"/>
      <c r="C27" s="272"/>
      <c r="D27" s="273"/>
      <c r="E27" s="28"/>
      <c r="F27" s="28"/>
      <c r="G27" s="28"/>
      <c r="H27" s="36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30" x14ac:dyDescent="0.2">
      <c r="A28" s="33">
        <v>2.5</v>
      </c>
      <c r="B28" s="274" t="s">
        <v>83</v>
      </c>
      <c r="C28" s="275"/>
      <c r="D28" s="276"/>
      <c r="E28" s="28" t="s">
        <v>82</v>
      </c>
      <c r="F28" s="28">
        <v>1566.2</v>
      </c>
      <c r="G28" s="28">
        <v>6.06</v>
      </c>
      <c r="H28" s="36">
        <f>F28*G28</f>
        <v>9491.1720000000005</v>
      </c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>
        <v>6.06</v>
      </c>
      <c r="T28" s="28">
        <v>0.751</v>
      </c>
      <c r="U28" s="28">
        <f>S28*F28</f>
        <v>9491.1720000000005</v>
      </c>
      <c r="V28" s="28">
        <v>2623.19</v>
      </c>
      <c r="W28" s="28">
        <f>V28*1.269*1.08</f>
        <v>3595.1343588</v>
      </c>
      <c r="X28" s="28">
        <f>Z28</f>
        <v>3595.1343588</v>
      </c>
      <c r="Y28" s="28"/>
      <c r="Z28" s="28">
        <f>W28</f>
        <v>3595.1343588</v>
      </c>
      <c r="AB28" s="18">
        <f>AA28/3*8</f>
        <v>0</v>
      </c>
    </row>
    <row r="29" spans="1:30" x14ac:dyDescent="0.2">
      <c r="A29" s="33"/>
      <c r="B29" s="274" t="s">
        <v>84</v>
      </c>
      <c r="C29" s="275"/>
      <c r="D29" s="276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30" x14ac:dyDescent="0.2">
      <c r="A30" s="33"/>
      <c r="B30" s="274" t="s">
        <v>85</v>
      </c>
      <c r="C30" s="275"/>
      <c r="D30" s="276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18">
        <v>1.6013409999999999</v>
      </c>
    </row>
    <row r="31" spans="1:30" x14ac:dyDescent="0.2">
      <c r="A31" s="33"/>
      <c r="B31" s="274" t="s">
        <v>87</v>
      </c>
      <c r="C31" s="275"/>
      <c r="D31" s="27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30" x14ac:dyDescent="0.2">
      <c r="A32" s="33"/>
      <c r="B32" s="42"/>
      <c r="C32" s="43"/>
      <c r="D32" s="44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45"/>
      <c r="U32" s="45"/>
      <c r="V32" s="45"/>
      <c r="W32" s="45"/>
      <c r="X32" s="45"/>
      <c r="Y32" s="28"/>
      <c r="Z32" s="28"/>
    </row>
    <row r="33" spans="1:26" x14ac:dyDescent="0.2">
      <c r="A33" s="33">
        <v>2.6</v>
      </c>
      <c r="B33" s="42" t="s">
        <v>88</v>
      </c>
      <c r="C33" s="43"/>
      <c r="D33" s="44"/>
      <c r="E33" s="28" t="s">
        <v>82</v>
      </c>
      <c r="F33" s="28">
        <v>1281</v>
      </c>
      <c r="G33" s="28">
        <v>0.14000000000000001</v>
      </c>
      <c r="H33" s="46">
        <f>F33*G33</f>
        <v>179.34</v>
      </c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45"/>
      <c r="U33" s="45"/>
      <c r="V33" s="45"/>
      <c r="W33" s="47">
        <f>H33</f>
        <v>179.34</v>
      </c>
      <c r="X33" s="45"/>
      <c r="Y33" s="28"/>
      <c r="Z33" s="36">
        <f>W33</f>
        <v>179.34</v>
      </c>
    </row>
    <row r="34" spans="1:26" x14ac:dyDescent="0.2">
      <c r="A34" s="33"/>
      <c r="B34" s="42"/>
      <c r="C34" s="43"/>
      <c r="D34" s="44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45"/>
      <c r="U34" s="45"/>
      <c r="V34" s="45"/>
      <c r="W34" s="48"/>
      <c r="X34" s="45"/>
      <c r="Y34" s="28"/>
      <c r="Z34" s="28"/>
    </row>
    <row r="35" spans="1:26" x14ac:dyDescent="0.2">
      <c r="A35" s="33">
        <v>2.7</v>
      </c>
      <c r="B35" s="42" t="s">
        <v>89</v>
      </c>
      <c r="C35" s="43"/>
      <c r="D35" s="44"/>
      <c r="E35" s="28" t="s">
        <v>82</v>
      </c>
      <c r="F35" s="40">
        <f>F23+F28</f>
        <v>5438.2</v>
      </c>
      <c r="G35" s="28">
        <v>0.42</v>
      </c>
      <c r="H35" s="46">
        <f>F35*G35</f>
        <v>2284.0439999999999</v>
      </c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45"/>
      <c r="U35" s="45"/>
      <c r="V35" s="45"/>
      <c r="W35" s="47">
        <f>H35</f>
        <v>2284.0439999999999</v>
      </c>
      <c r="X35" s="45"/>
      <c r="Y35" s="28"/>
      <c r="Z35" s="36">
        <f>W35</f>
        <v>2284.0439999999999</v>
      </c>
    </row>
    <row r="36" spans="1:26" x14ac:dyDescent="0.2">
      <c r="A36" s="33"/>
      <c r="B36" s="42"/>
      <c r="C36" s="43"/>
      <c r="D36" s="44"/>
      <c r="E36" s="28"/>
      <c r="F36" s="28"/>
      <c r="G36" s="28"/>
      <c r="H36" s="46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45"/>
      <c r="U36" s="45"/>
      <c r="V36" s="45"/>
      <c r="W36" s="48"/>
      <c r="X36" s="45"/>
      <c r="Y36" s="28"/>
      <c r="Z36" s="28"/>
    </row>
    <row r="37" spans="1:26" x14ac:dyDescent="0.2">
      <c r="A37" s="33">
        <v>2.7</v>
      </c>
      <c r="B37" s="42" t="s">
        <v>90</v>
      </c>
      <c r="C37" s="43"/>
      <c r="D37" s="44"/>
      <c r="E37" s="28" t="s">
        <v>91</v>
      </c>
      <c r="F37" s="28">
        <v>192</v>
      </c>
      <c r="G37" s="28">
        <v>8.41</v>
      </c>
      <c r="H37" s="46">
        <f>F37*G37</f>
        <v>1614.72</v>
      </c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45"/>
      <c r="U37" s="45"/>
      <c r="V37" s="45"/>
      <c r="W37" s="47">
        <f>H37</f>
        <v>1614.72</v>
      </c>
      <c r="X37" s="45"/>
      <c r="Y37" s="28"/>
      <c r="Z37" s="36">
        <f>W37</f>
        <v>1614.72</v>
      </c>
    </row>
    <row r="38" spans="1:26" x14ac:dyDescent="0.2">
      <c r="A38" s="33"/>
      <c r="B38" s="42"/>
      <c r="C38" s="43"/>
      <c r="D38" s="44"/>
      <c r="E38" s="28"/>
      <c r="F38" s="28">
        <v>96</v>
      </c>
      <c r="G38" s="28">
        <v>11.14</v>
      </c>
      <c r="H38" s="46">
        <f>F38*G38</f>
        <v>1069.44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45"/>
      <c r="U38" s="45"/>
      <c r="V38" s="45"/>
      <c r="W38" s="47">
        <f>H38</f>
        <v>1069.44</v>
      </c>
      <c r="X38" s="45"/>
      <c r="Y38" s="28"/>
      <c r="Z38" s="36">
        <f>W38</f>
        <v>1069.44</v>
      </c>
    </row>
    <row r="39" spans="1:26" x14ac:dyDescent="0.2">
      <c r="A39" s="33"/>
      <c r="B39" s="42"/>
      <c r="C39" s="43"/>
      <c r="D39" s="44"/>
      <c r="E39" s="28"/>
      <c r="F39" s="28"/>
      <c r="G39" s="28"/>
      <c r="H39" s="46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45"/>
      <c r="U39" s="45"/>
      <c r="V39" s="45"/>
      <c r="W39" s="47"/>
      <c r="X39" s="45"/>
      <c r="Y39" s="28"/>
      <c r="Z39" s="36"/>
    </row>
    <row r="40" spans="1:26" x14ac:dyDescent="0.2">
      <c r="A40" s="33">
        <v>2.8</v>
      </c>
      <c r="B40" s="42" t="s">
        <v>92</v>
      </c>
      <c r="C40" s="43"/>
      <c r="D40" s="44"/>
      <c r="E40" s="28"/>
      <c r="F40" s="28">
        <v>89010.49</v>
      </c>
      <c r="G40" s="49">
        <v>1.7999999999999999E-2</v>
      </c>
      <c r="H40" s="46">
        <f>F40*G40</f>
        <v>1602.1888200000001</v>
      </c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45"/>
      <c r="U40" s="45"/>
      <c r="V40" s="45"/>
      <c r="W40" s="47">
        <f>H40</f>
        <v>1602.1888200000001</v>
      </c>
      <c r="X40" s="45"/>
      <c r="Y40" s="28"/>
      <c r="Z40" s="36">
        <f>W40</f>
        <v>1602.1888200000001</v>
      </c>
    </row>
    <row r="41" spans="1:26" x14ac:dyDescent="0.2">
      <c r="A41" s="33"/>
      <c r="B41" s="42"/>
      <c r="C41" s="43"/>
      <c r="D41" s="44"/>
      <c r="E41" s="28"/>
      <c r="F41" s="28"/>
      <c r="G41" s="49"/>
      <c r="H41" s="50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45"/>
      <c r="U41" s="45"/>
      <c r="V41" s="45"/>
      <c r="W41" s="48"/>
      <c r="X41" s="45"/>
      <c r="Y41" s="28"/>
      <c r="Z41" s="28"/>
    </row>
    <row r="42" spans="1:26" x14ac:dyDescent="0.2">
      <c r="A42" s="33">
        <v>2.9</v>
      </c>
      <c r="B42" s="42" t="s">
        <v>93</v>
      </c>
      <c r="C42" s="43"/>
      <c r="D42" s="44"/>
      <c r="E42" s="28"/>
      <c r="F42" s="28">
        <f>F40</f>
        <v>89010.49</v>
      </c>
      <c r="G42" s="49">
        <v>1.4E-2</v>
      </c>
      <c r="H42" s="46">
        <f>F42*G42</f>
        <v>1246.1468600000001</v>
      </c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45"/>
      <c r="U42" s="45"/>
      <c r="V42" s="45"/>
      <c r="W42" s="47">
        <f>H42</f>
        <v>1246.1468600000001</v>
      </c>
      <c r="X42" s="45"/>
      <c r="Y42" s="28"/>
      <c r="Z42" s="36">
        <f>W42</f>
        <v>1246.1468600000001</v>
      </c>
    </row>
    <row r="43" spans="1:26" x14ac:dyDescent="0.2">
      <c r="A43" s="33"/>
      <c r="B43" s="42"/>
      <c r="C43" s="43"/>
      <c r="D43" s="44"/>
      <c r="E43" s="28"/>
      <c r="F43" s="28"/>
      <c r="G43" s="51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45"/>
      <c r="U43" s="45"/>
      <c r="V43" s="45"/>
      <c r="W43" s="48"/>
      <c r="X43" s="45"/>
      <c r="Y43" s="28"/>
      <c r="Z43" s="28"/>
    </row>
    <row r="44" spans="1:26" x14ac:dyDescent="0.2">
      <c r="A44" s="33" t="s">
        <v>94</v>
      </c>
      <c r="B44" s="42" t="s">
        <v>95</v>
      </c>
      <c r="C44" s="43"/>
      <c r="D44" s="44"/>
      <c r="E44" s="28"/>
      <c r="F44" s="40">
        <f>F23+F28</f>
        <v>5438.2</v>
      </c>
      <c r="G44" s="52">
        <v>9.4E-2</v>
      </c>
      <c r="H44" s="53">
        <f>F44*G44*1.18</f>
        <v>603.2051439999999</v>
      </c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45"/>
      <c r="U44" s="45"/>
      <c r="V44" s="45"/>
      <c r="W44" s="54">
        <f>H44</f>
        <v>603.2051439999999</v>
      </c>
      <c r="X44" s="45"/>
      <c r="Y44" s="28"/>
      <c r="Z44" s="55">
        <f>W44</f>
        <v>603.2051439999999</v>
      </c>
    </row>
    <row r="45" spans="1:26" x14ac:dyDescent="0.2">
      <c r="A45" s="33"/>
      <c r="B45" s="42"/>
      <c r="C45" s="43"/>
      <c r="D45" s="44"/>
      <c r="E45" s="28"/>
      <c r="F45" s="28"/>
      <c r="G45" s="52"/>
      <c r="H45" s="53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45"/>
      <c r="U45" s="45"/>
      <c r="V45" s="45"/>
      <c r="W45" s="48"/>
      <c r="X45" s="45"/>
      <c r="Y45" s="28"/>
      <c r="Z45" s="28"/>
    </row>
    <row r="46" spans="1:26" x14ac:dyDescent="0.2">
      <c r="A46" s="56" t="s">
        <v>96</v>
      </c>
      <c r="B46" s="42" t="s">
        <v>97</v>
      </c>
      <c r="C46" s="43"/>
      <c r="D46" s="44"/>
      <c r="E46" s="28"/>
      <c r="F46" s="36">
        <f>R15+R14</f>
        <v>31055.65</v>
      </c>
      <c r="G46" s="57">
        <v>0.10199999999999999</v>
      </c>
      <c r="H46" s="53">
        <f>F46*G46</f>
        <v>3167.6763000000001</v>
      </c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45"/>
      <c r="U46" s="45"/>
      <c r="V46" s="45"/>
      <c r="W46" s="58">
        <f>H46</f>
        <v>3167.6763000000001</v>
      </c>
      <c r="X46" s="45"/>
      <c r="Y46" s="28"/>
      <c r="Z46" s="59">
        <f>W46</f>
        <v>3167.6763000000001</v>
      </c>
    </row>
    <row r="47" spans="1:26" x14ac:dyDescent="0.2">
      <c r="A47" s="56"/>
      <c r="B47" s="42"/>
      <c r="C47" s="43"/>
      <c r="D47" s="44"/>
      <c r="E47" s="28"/>
      <c r="F47" s="36"/>
      <c r="G47" s="57"/>
      <c r="H47" s="53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45"/>
      <c r="U47" s="45"/>
      <c r="V47" s="45"/>
      <c r="W47" s="58"/>
      <c r="X47" s="45"/>
      <c r="Y47" s="28"/>
      <c r="Z47" s="59"/>
    </row>
    <row r="48" spans="1:26" x14ac:dyDescent="0.2">
      <c r="A48" s="56" t="s">
        <v>98</v>
      </c>
      <c r="B48" s="42" t="s">
        <v>99</v>
      </c>
      <c r="C48" s="43"/>
      <c r="D48" s="44"/>
      <c r="E48" s="28"/>
      <c r="F48" s="36">
        <f>F35</f>
        <v>5438.2</v>
      </c>
      <c r="G48" s="60">
        <v>0.2</v>
      </c>
      <c r="H48" s="53">
        <f>F48*G48</f>
        <v>1087.6400000000001</v>
      </c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45"/>
      <c r="U48" s="45"/>
      <c r="V48" s="45"/>
      <c r="W48" s="58">
        <f>H48</f>
        <v>1087.6400000000001</v>
      </c>
      <c r="X48" s="45"/>
      <c r="Y48" s="28"/>
      <c r="Z48" s="59">
        <f>W48</f>
        <v>1087.6400000000001</v>
      </c>
    </row>
    <row r="49" spans="1:28" x14ac:dyDescent="0.2">
      <c r="A49" s="33"/>
      <c r="B49" s="277"/>
      <c r="C49" s="278"/>
      <c r="D49" s="279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45"/>
      <c r="U49" s="45"/>
      <c r="V49" s="45"/>
      <c r="W49" s="45"/>
      <c r="X49" s="45"/>
      <c r="Y49" s="28"/>
      <c r="Z49" s="28"/>
      <c r="AA49" s="18">
        <f>AA53/AA21</f>
        <v>8.2160650017947248</v>
      </c>
    </row>
    <row r="50" spans="1:28" x14ac:dyDescent="0.2">
      <c r="A50" s="33">
        <v>3</v>
      </c>
      <c r="B50" s="277" t="s">
        <v>100</v>
      </c>
      <c r="C50" s="278"/>
      <c r="D50" s="279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61">
        <v>1.1739999999999999</v>
      </c>
      <c r="U50" s="45"/>
      <c r="V50" s="45"/>
      <c r="W50" s="45"/>
      <c r="X50" s="45"/>
      <c r="Y50" s="28"/>
      <c r="Z50" s="36">
        <f>AA53-Z14-Z15-Z16</f>
        <v>5598.2467777818201</v>
      </c>
      <c r="AB50" s="18">
        <f>(R14/1.18-Z14/1.18-Z16)/F23</f>
        <v>-1.4802921544984973</v>
      </c>
    </row>
    <row r="51" spans="1:28" x14ac:dyDescent="0.2">
      <c r="A51" s="33"/>
      <c r="B51" s="62"/>
      <c r="C51" s="63"/>
      <c r="D51" s="34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61"/>
      <c r="U51" s="45"/>
      <c r="V51" s="45"/>
      <c r="W51" s="45"/>
      <c r="X51" s="45"/>
      <c r="Y51" s="28"/>
      <c r="Z51" s="28"/>
    </row>
    <row r="52" spans="1:28" x14ac:dyDescent="0.2">
      <c r="A52" s="28"/>
      <c r="B52" s="271" t="s">
        <v>101</v>
      </c>
      <c r="C52" s="272"/>
      <c r="D52" s="273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61">
        <f>T14+T16+T50</f>
        <v>4.8422004132231411</v>
      </c>
      <c r="U52" s="64"/>
      <c r="V52" s="64"/>
      <c r="W52" s="64"/>
      <c r="X52" s="64"/>
      <c r="Y52" s="28"/>
      <c r="Z52" s="40">
        <f>R14+R15</f>
        <v>31055.65</v>
      </c>
    </row>
    <row r="53" spans="1:28" x14ac:dyDescent="0.2">
      <c r="A53" s="28"/>
      <c r="B53" s="271" t="s">
        <v>102</v>
      </c>
      <c r="C53" s="272"/>
      <c r="D53" s="273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65">
        <f>T52*18%</f>
        <v>0.8715960743801654</v>
      </c>
      <c r="U53" s="36"/>
      <c r="V53" s="36"/>
      <c r="W53" s="36"/>
      <c r="X53" s="36"/>
      <c r="Y53" s="28"/>
      <c r="Z53" s="28"/>
      <c r="AA53" s="41">
        <f>R14+R15</f>
        <v>31055.65</v>
      </c>
    </row>
    <row r="54" spans="1:28" x14ac:dyDescent="0.2">
      <c r="A54" s="28"/>
      <c r="B54" s="271" t="s">
        <v>103</v>
      </c>
      <c r="C54" s="272"/>
      <c r="D54" s="273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66">
        <f>T52+T53</f>
        <v>5.7137964876033065</v>
      </c>
      <c r="U54" s="66"/>
      <c r="V54" s="66"/>
      <c r="W54" s="66"/>
      <c r="X54" s="66"/>
      <c r="Y54" s="28"/>
      <c r="Z54" s="67">
        <f>Z52+Z53</f>
        <v>31055.65</v>
      </c>
    </row>
    <row r="55" spans="1:28" x14ac:dyDescent="0.2">
      <c r="AA55" s="41">
        <f>Z14+Z15+Z16+Z50</f>
        <v>31055.65</v>
      </c>
    </row>
    <row r="56" spans="1:28" x14ac:dyDescent="0.2">
      <c r="B56" s="18" t="s">
        <v>104</v>
      </c>
      <c r="W56" s="68">
        <f>W17+W19+W21</f>
        <v>3779.869072751515</v>
      </c>
      <c r="X56" s="41">
        <f>X17+X19+X21</f>
        <v>8731.4975580559985</v>
      </c>
      <c r="AB56" s="18">
        <f>R14/J14</f>
        <v>5.7109111099633285</v>
      </c>
    </row>
    <row r="57" spans="1:28" x14ac:dyDescent="0.2">
      <c r="B57" s="18" t="s">
        <v>105</v>
      </c>
      <c r="W57" s="18">
        <f>W56*1.269*1.08</f>
        <v>5180.3861615874057</v>
      </c>
    </row>
    <row r="58" spans="1:28" x14ac:dyDescent="0.2">
      <c r="B58" s="18" t="s">
        <v>106</v>
      </c>
    </row>
    <row r="59" spans="1:28" x14ac:dyDescent="0.2">
      <c r="B59" s="18" t="s">
        <v>107</v>
      </c>
    </row>
  </sheetData>
  <mergeCells count="48">
    <mergeCell ref="A10:A11"/>
    <mergeCell ref="B10:D11"/>
    <mergeCell ref="E10:E11"/>
    <mergeCell ref="F10:F11"/>
    <mergeCell ref="R10:R11"/>
    <mergeCell ref="B16:D16"/>
    <mergeCell ref="B3:F3"/>
    <mergeCell ref="B5:D5"/>
    <mergeCell ref="E5:G5"/>
    <mergeCell ref="B6:G6"/>
    <mergeCell ref="B8:Z8"/>
    <mergeCell ref="G10:G11"/>
    <mergeCell ref="H10:H11"/>
    <mergeCell ref="I10:K10"/>
    <mergeCell ref="S10:S11"/>
    <mergeCell ref="Z10:Z11"/>
    <mergeCell ref="X10:X11"/>
    <mergeCell ref="Y10:Y11"/>
    <mergeCell ref="T10:T11"/>
    <mergeCell ref="U10:U11"/>
    <mergeCell ref="V10:V11"/>
    <mergeCell ref="W10:W11"/>
    <mergeCell ref="B12:D12"/>
    <mergeCell ref="B13:D13"/>
    <mergeCell ref="B14:D14"/>
    <mergeCell ref="B15:D15"/>
    <mergeCell ref="L10:N10"/>
    <mergeCell ref="O10:Q10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53:D53"/>
    <mergeCell ref="B54:D54"/>
    <mergeCell ref="B29:D29"/>
    <mergeCell ref="B30:D30"/>
    <mergeCell ref="B31:D31"/>
    <mergeCell ref="B49:D49"/>
    <mergeCell ref="B50:D50"/>
    <mergeCell ref="B52:D52"/>
  </mergeCells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9"/>
  <sheetViews>
    <sheetView workbookViewId="0">
      <selection activeCell="B3" sqref="B3:G30"/>
    </sheetView>
  </sheetViews>
  <sheetFormatPr defaultRowHeight="15" x14ac:dyDescent="0.25"/>
  <cols>
    <col min="4" max="4" width="12.42578125" customWidth="1"/>
    <col min="5" max="6" width="12.140625" customWidth="1"/>
  </cols>
  <sheetData>
    <row r="3" spans="2:6" x14ac:dyDescent="0.25">
      <c r="B3" s="74" t="s">
        <v>140</v>
      </c>
      <c r="C3" s="74"/>
      <c r="D3" s="74"/>
      <c r="E3" s="74"/>
    </row>
    <row r="4" spans="2:6" x14ac:dyDescent="0.25">
      <c r="B4" s="74"/>
      <c r="C4" s="74"/>
      <c r="D4" s="74"/>
      <c r="E4" s="74"/>
    </row>
    <row r="5" spans="2:6" x14ac:dyDescent="0.25">
      <c r="B5" s="74" t="s">
        <v>141</v>
      </c>
      <c r="C5" s="74"/>
      <c r="D5" s="74"/>
      <c r="E5" s="74"/>
    </row>
    <row r="8" spans="2:6" x14ac:dyDescent="0.25">
      <c r="B8" s="89" t="s">
        <v>108</v>
      </c>
      <c r="C8" s="90"/>
      <c r="D8" s="91"/>
      <c r="E8" s="72">
        <v>40087</v>
      </c>
      <c r="F8" s="1">
        <v>13838</v>
      </c>
    </row>
    <row r="9" spans="2:6" x14ac:dyDescent="0.25">
      <c r="B9" s="89" t="s">
        <v>109</v>
      </c>
      <c r="C9" s="90"/>
      <c r="D9" s="91"/>
      <c r="E9" s="72">
        <v>39722</v>
      </c>
      <c r="F9" s="1">
        <v>3257.31</v>
      </c>
    </row>
    <row r="10" spans="2:6" x14ac:dyDescent="0.25">
      <c r="B10" s="89" t="s">
        <v>108</v>
      </c>
      <c r="C10" s="90"/>
      <c r="D10" s="91"/>
      <c r="E10" s="72">
        <v>40483</v>
      </c>
      <c r="F10" s="1">
        <v>5245.89</v>
      </c>
    </row>
    <row r="11" spans="2:6" x14ac:dyDescent="0.25">
      <c r="B11" s="89" t="s">
        <v>110</v>
      </c>
      <c r="C11" s="90"/>
      <c r="D11" s="91"/>
      <c r="E11" s="72">
        <v>40422</v>
      </c>
      <c r="F11" s="1">
        <v>13130.44</v>
      </c>
    </row>
    <row r="12" spans="2:6" x14ac:dyDescent="0.25">
      <c r="B12" s="89" t="s">
        <v>108</v>
      </c>
      <c r="C12" s="90"/>
      <c r="D12" s="91"/>
      <c r="E12" s="72">
        <v>40483</v>
      </c>
      <c r="F12" s="1">
        <v>10401.450000000001</v>
      </c>
    </row>
    <row r="13" spans="2:6" x14ac:dyDescent="0.25">
      <c r="B13" s="89" t="s">
        <v>114</v>
      </c>
      <c r="C13" s="90"/>
      <c r="D13" s="91"/>
      <c r="E13" s="72">
        <v>40634</v>
      </c>
      <c r="F13" s="80">
        <v>12600.02</v>
      </c>
    </row>
    <row r="14" spans="2:6" x14ac:dyDescent="0.25">
      <c r="B14" s="89" t="s">
        <v>115</v>
      </c>
      <c r="C14" s="90"/>
      <c r="D14" s="91"/>
      <c r="E14" s="72">
        <v>40725</v>
      </c>
      <c r="F14" s="80">
        <v>48719.97</v>
      </c>
    </row>
    <row r="15" spans="2:6" x14ac:dyDescent="0.25">
      <c r="B15" s="89" t="s">
        <v>108</v>
      </c>
      <c r="C15" s="90"/>
      <c r="D15" s="91"/>
      <c r="E15" s="72">
        <v>40787</v>
      </c>
      <c r="F15" s="80">
        <v>43959.99</v>
      </c>
    </row>
    <row r="16" spans="2:6" x14ac:dyDescent="0.25">
      <c r="B16" s="89" t="s">
        <v>132</v>
      </c>
      <c r="C16" s="90"/>
      <c r="D16" s="91"/>
      <c r="E16" s="72">
        <v>40817</v>
      </c>
      <c r="F16" s="80">
        <v>26355.17</v>
      </c>
    </row>
    <row r="17" spans="2:6" x14ac:dyDescent="0.25">
      <c r="B17" s="89" t="s">
        <v>108</v>
      </c>
      <c r="C17" s="90"/>
      <c r="D17" s="91"/>
      <c r="E17" s="72">
        <v>40787</v>
      </c>
      <c r="F17" s="80">
        <v>16724.400000000001</v>
      </c>
    </row>
    <row r="18" spans="2:6" x14ac:dyDescent="0.25">
      <c r="B18" s="263" t="s">
        <v>134</v>
      </c>
      <c r="C18" s="264"/>
      <c r="D18" s="265"/>
      <c r="E18" s="72">
        <v>40878</v>
      </c>
      <c r="F18" s="80">
        <v>46602.74</v>
      </c>
    </row>
    <row r="19" spans="2:6" x14ac:dyDescent="0.25">
      <c r="B19" s="89" t="s">
        <v>139</v>
      </c>
      <c r="C19" s="90"/>
      <c r="D19" s="91"/>
      <c r="E19" s="72">
        <v>41244</v>
      </c>
      <c r="F19" s="80">
        <v>14008.98</v>
      </c>
    </row>
    <row r="20" spans="2:6" x14ac:dyDescent="0.25">
      <c r="B20" s="89" t="s">
        <v>142</v>
      </c>
      <c r="C20" s="90"/>
      <c r="D20" s="91"/>
      <c r="E20" s="72">
        <v>41365</v>
      </c>
      <c r="F20" s="80">
        <v>65162.01</v>
      </c>
    </row>
    <row r="21" spans="2:6" x14ac:dyDescent="0.25">
      <c r="B21" s="89" t="s">
        <v>143</v>
      </c>
      <c r="C21" s="90"/>
      <c r="D21" s="91"/>
      <c r="E21" s="72">
        <v>41395</v>
      </c>
      <c r="F21" s="80">
        <v>31080.16</v>
      </c>
    </row>
    <row r="22" spans="2:6" x14ac:dyDescent="0.25">
      <c r="B22" s="263" t="s">
        <v>153</v>
      </c>
      <c r="C22" s="264"/>
      <c r="D22" s="265"/>
      <c r="E22" s="72">
        <v>41426</v>
      </c>
      <c r="F22" s="171">
        <v>32043.07</v>
      </c>
    </row>
    <row r="23" spans="2:6" x14ac:dyDescent="0.25">
      <c r="B23" s="263" t="s">
        <v>157</v>
      </c>
      <c r="C23" s="264"/>
      <c r="D23" s="265"/>
      <c r="E23" s="72">
        <v>41609</v>
      </c>
      <c r="F23" s="171">
        <v>4191.38</v>
      </c>
    </row>
    <row r="24" spans="2:6" x14ac:dyDescent="0.25">
      <c r="B24" s="263" t="s">
        <v>158</v>
      </c>
      <c r="C24" s="264"/>
      <c r="D24" s="265"/>
      <c r="E24" s="72">
        <v>41609</v>
      </c>
      <c r="F24" s="171">
        <v>11921.59</v>
      </c>
    </row>
    <row r="25" spans="2:6" x14ac:dyDescent="0.25">
      <c r="B25" s="168" t="s">
        <v>167</v>
      </c>
      <c r="C25" s="170"/>
      <c r="D25" s="170"/>
      <c r="E25" s="72">
        <v>41760</v>
      </c>
      <c r="F25" s="172">
        <v>6115.81</v>
      </c>
    </row>
    <row r="26" spans="2:6" x14ac:dyDescent="0.25">
      <c r="B26" s="263" t="s">
        <v>108</v>
      </c>
      <c r="C26" s="264"/>
      <c r="D26" s="265"/>
      <c r="E26" s="72">
        <v>41913</v>
      </c>
      <c r="F26" s="1">
        <v>46031.81</v>
      </c>
    </row>
    <row r="27" spans="2:6" x14ac:dyDescent="0.25">
      <c r="B27" s="263" t="s">
        <v>139</v>
      </c>
      <c r="C27" s="264"/>
      <c r="D27" s="265"/>
      <c r="E27" s="72">
        <v>41974</v>
      </c>
      <c r="F27" s="1">
        <v>9933.7199999999993</v>
      </c>
    </row>
    <row r="28" spans="2:6" x14ac:dyDescent="0.25">
      <c r="B28" s="238"/>
      <c r="C28" s="239"/>
      <c r="D28" s="240"/>
      <c r="E28" s="1"/>
      <c r="F28" s="1"/>
    </row>
    <row r="29" spans="2:6" x14ac:dyDescent="0.25">
      <c r="B29" s="238" t="s">
        <v>168</v>
      </c>
      <c r="C29" s="239"/>
      <c r="D29" s="240"/>
      <c r="E29" s="1"/>
      <c r="F29" s="1">
        <f>SUM(F8:F28)</f>
        <v>461323.91</v>
      </c>
    </row>
  </sheetData>
  <mergeCells count="8">
    <mergeCell ref="B27:D27"/>
    <mergeCell ref="B28:D28"/>
    <mergeCell ref="B29:D29"/>
    <mergeCell ref="B18:D18"/>
    <mergeCell ref="B22:D22"/>
    <mergeCell ref="B23:D23"/>
    <mergeCell ref="B24:D24"/>
    <mergeCell ref="B26:D26"/>
  </mergeCells>
  <phoneticPr fontId="1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7"/>
  <sheetViews>
    <sheetView topLeftCell="V1" zoomScale="90" zoomScaleNormal="90" workbookViewId="0">
      <selection activeCell="V1" sqref="A1:XFD1048576"/>
    </sheetView>
  </sheetViews>
  <sheetFormatPr defaultRowHeight="15" x14ac:dyDescent="0.25"/>
  <cols>
    <col min="1" max="1" width="4.85546875" customWidth="1"/>
    <col min="2" max="2" width="14.7109375" customWidth="1"/>
    <col min="3" max="3" width="11.140625" customWidth="1"/>
    <col min="4" max="4" width="10.85546875" customWidth="1"/>
    <col min="5" max="5" width="12" customWidth="1"/>
    <col min="6" max="6" width="9.85546875" bestFit="1" customWidth="1"/>
    <col min="8" max="8" width="11.140625" customWidth="1"/>
    <col min="9" max="9" width="7.140625" customWidth="1"/>
    <col min="10" max="10" width="6.85546875" customWidth="1"/>
    <col min="11" max="11" width="9.28515625" customWidth="1"/>
    <col min="12" max="12" width="11.42578125" customWidth="1"/>
    <col min="13" max="13" width="6.85546875" customWidth="1"/>
    <col min="14" max="14" width="12.140625" customWidth="1"/>
    <col min="15" max="15" width="10.85546875" customWidth="1"/>
    <col min="16" max="16" width="9.5703125" customWidth="1"/>
    <col min="17" max="17" width="10.85546875" customWidth="1"/>
    <col min="18" max="18" width="9.5703125" customWidth="1"/>
    <col min="19" max="19" width="11.28515625" customWidth="1"/>
    <col min="20" max="20" width="11.5703125" customWidth="1"/>
    <col min="21" max="21" width="4.85546875" style="103" customWidth="1"/>
    <col min="22" max="22" width="5" customWidth="1"/>
    <col min="23" max="23" width="11.85546875" customWidth="1"/>
    <col min="24" max="24" width="9.28515625" bestFit="1" customWidth="1"/>
    <col min="25" max="25" width="9.85546875" bestFit="1" customWidth="1"/>
    <col min="26" max="26" width="9.28515625" bestFit="1" customWidth="1"/>
    <col min="27" max="27" width="5.7109375" customWidth="1"/>
    <col min="28" max="28" width="9.28515625" bestFit="1" customWidth="1"/>
    <col min="29" max="29" width="10" customWidth="1"/>
    <col min="30" max="30" width="9.28515625" bestFit="1" customWidth="1"/>
    <col min="31" max="31" width="9.140625" customWidth="1"/>
    <col min="32" max="32" width="10.5703125" customWidth="1"/>
    <col min="33" max="33" width="7.85546875" customWidth="1"/>
    <col min="34" max="36" width="9.28515625" bestFit="1" customWidth="1"/>
    <col min="37" max="37" width="9.85546875" bestFit="1" customWidth="1"/>
    <col min="38" max="38" width="12.140625" customWidth="1"/>
    <col min="39" max="39" width="9.7109375" customWidth="1"/>
    <col min="40" max="40" width="12.7109375" customWidth="1"/>
    <col min="41" max="41" width="12.5703125" customWidth="1"/>
    <col min="42" max="42" width="4.85546875" customWidth="1"/>
    <col min="44" max="44" width="14.5703125" customWidth="1"/>
    <col min="45" max="45" width="10.85546875" customWidth="1"/>
    <col min="46" max="46" width="14.7109375" customWidth="1"/>
    <col min="47" max="47" width="25.42578125" customWidth="1"/>
    <col min="48" max="48" width="11.5703125" customWidth="1"/>
    <col min="49" max="49" width="10.5703125" customWidth="1"/>
    <col min="50" max="50" width="11.42578125" customWidth="1"/>
  </cols>
  <sheetData>
    <row r="1" spans="1:50" ht="15.75" x14ac:dyDescent="0.25">
      <c r="C1" s="105" t="s">
        <v>111</v>
      </c>
      <c r="D1" s="105"/>
      <c r="E1" s="105"/>
      <c r="X1" s="105"/>
      <c r="Y1" s="105"/>
      <c r="Z1" s="105"/>
      <c r="AA1" s="105" t="s">
        <v>152</v>
      </c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T1" s="74"/>
    </row>
    <row r="2" spans="1:50" ht="15" customHeight="1" x14ac:dyDescent="0.25">
      <c r="B2" s="232" t="s">
        <v>161</v>
      </c>
      <c r="C2" s="232" t="s">
        <v>15</v>
      </c>
      <c r="D2" s="232" t="s">
        <v>1</v>
      </c>
      <c r="E2" s="232" t="s">
        <v>162</v>
      </c>
      <c r="F2" s="232" t="s">
        <v>24</v>
      </c>
      <c r="G2" s="232" t="s">
        <v>25</v>
      </c>
      <c r="H2" s="232" t="s">
        <v>26</v>
      </c>
      <c r="I2" s="232" t="s">
        <v>135</v>
      </c>
      <c r="J2" s="232" t="s">
        <v>136</v>
      </c>
      <c r="K2" s="232" t="s">
        <v>137</v>
      </c>
      <c r="L2" s="311" t="s">
        <v>27</v>
      </c>
      <c r="M2" s="76"/>
      <c r="N2" s="76"/>
      <c r="O2" s="76"/>
      <c r="P2" s="76"/>
      <c r="Q2" s="76"/>
      <c r="R2" s="76"/>
      <c r="S2" s="76"/>
      <c r="W2" s="312" t="s">
        <v>14</v>
      </c>
      <c r="X2" s="268" t="s">
        <v>8</v>
      </c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69"/>
      <c r="AK2" s="270"/>
      <c r="AL2" s="266" t="s">
        <v>10</v>
      </c>
      <c r="AM2" s="266" t="s">
        <v>11</v>
      </c>
      <c r="AN2" s="266" t="s">
        <v>12</v>
      </c>
      <c r="AO2" s="266" t="s">
        <v>13</v>
      </c>
      <c r="AU2" s="74" t="s">
        <v>128</v>
      </c>
    </row>
    <row r="3" spans="1:50" ht="48.75" customHeight="1" x14ac:dyDescent="0.25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311"/>
      <c r="M3" s="76"/>
      <c r="N3" s="236" t="s">
        <v>146</v>
      </c>
      <c r="O3" s="236"/>
      <c r="P3" s="236"/>
      <c r="Q3" s="236"/>
      <c r="R3" s="236"/>
      <c r="S3" s="236"/>
      <c r="T3" s="236"/>
      <c r="U3" s="112"/>
      <c r="W3" s="313"/>
      <c r="X3" s="164" t="s">
        <v>9</v>
      </c>
      <c r="Y3" s="4" t="s">
        <v>155</v>
      </c>
      <c r="Z3" s="165" t="s">
        <v>16</v>
      </c>
      <c r="AA3" s="5" t="s">
        <v>164</v>
      </c>
      <c r="AB3" s="5" t="s">
        <v>18</v>
      </c>
      <c r="AC3" s="6" t="s">
        <v>19</v>
      </c>
      <c r="AD3" s="6" t="s">
        <v>165</v>
      </c>
      <c r="AE3" s="6" t="str">
        <f>кальк!B33</f>
        <v xml:space="preserve">ИП Рукина </v>
      </c>
      <c r="AF3" s="6" t="str">
        <f>кальк!B35</f>
        <v>ГАСС</v>
      </c>
      <c r="AG3" s="6" t="str">
        <f>кальк!B37</f>
        <v>Производственная база ЖКХ</v>
      </c>
      <c r="AH3" s="6" t="str">
        <f>кальк!B40</f>
        <v>МИВЦ</v>
      </c>
      <c r="AI3" s="6" t="str">
        <f>кальк!B42</f>
        <v>Банк, почта</v>
      </c>
      <c r="AJ3" s="6" t="str">
        <f>кальк!B46</f>
        <v>Затраты на материалы</v>
      </c>
      <c r="AK3" s="7" t="s">
        <v>5</v>
      </c>
      <c r="AL3" s="267"/>
      <c r="AM3" s="267"/>
      <c r="AN3" s="267"/>
      <c r="AO3" s="267"/>
      <c r="AQ3" s="244" t="s">
        <v>166</v>
      </c>
      <c r="AR3" s="244" t="s">
        <v>117</v>
      </c>
      <c r="AS3" s="244" t="s">
        <v>118</v>
      </c>
      <c r="AT3" s="254" t="s">
        <v>119</v>
      </c>
      <c r="AU3" s="256"/>
      <c r="AV3" s="255"/>
      <c r="AW3" s="247" t="s">
        <v>120</v>
      </c>
      <c r="AX3" s="248"/>
    </row>
    <row r="4" spans="1:50" ht="16.5" customHeight="1" x14ac:dyDescent="0.25">
      <c r="B4" s="15">
        <v>1</v>
      </c>
      <c r="C4" s="14">
        <v>2</v>
      </c>
      <c r="D4" s="14">
        <f t="shared" ref="D4:L4" si="0">C4+1</f>
        <v>3</v>
      </c>
      <c r="E4" s="14">
        <f t="shared" si="0"/>
        <v>4</v>
      </c>
      <c r="F4" s="14">
        <v>5</v>
      </c>
      <c r="G4" s="14">
        <f t="shared" si="0"/>
        <v>6</v>
      </c>
      <c r="H4" s="14">
        <f t="shared" si="0"/>
        <v>7</v>
      </c>
      <c r="I4" s="14">
        <f t="shared" si="0"/>
        <v>8</v>
      </c>
      <c r="J4" s="14">
        <f t="shared" si="0"/>
        <v>9</v>
      </c>
      <c r="K4" s="14">
        <f t="shared" si="0"/>
        <v>10</v>
      </c>
      <c r="L4" s="14">
        <f t="shared" si="0"/>
        <v>11</v>
      </c>
      <c r="N4" s="234" t="s">
        <v>21</v>
      </c>
      <c r="O4" s="235"/>
      <c r="P4" s="234" t="s">
        <v>169</v>
      </c>
      <c r="Q4" s="235"/>
      <c r="R4" s="234" t="s">
        <v>22</v>
      </c>
      <c r="S4" s="235"/>
      <c r="T4" s="75" t="s">
        <v>23</v>
      </c>
      <c r="U4" s="113"/>
      <c r="W4" s="15">
        <v>1</v>
      </c>
      <c r="X4" s="1">
        <f>W4+1</f>
        <v>2</v>
      </c>
      <c r="Y4" s="1">
        <f t="shared" ref="Y4:AI4" si="1">X4+1</f>
        <v>3</v>
      </c>
      <c r="Z4" s="1">
        <f t="shared" si="1"/>
        <v>4</v>
      </c>
      <c r="AA4" s="1">
        <f t="shared" si="1"/>
        <v>5</v>
      </c>
      <c r="AB4" s="1">
        <f t="shared" si="1"/>
        <v>6</v>
      </c>
      <c r="AC4" s="1">
        <f t="shared" si="1"/>
        <v>7</v>
      </c>
      <c r="AD4" s="1">
        <f t="shared" si="1"/>
        <v>8</v>
      </c>
      <c r="AE4" s="1">
        <f t="shared" si="1"/>
        <v>9</v>
      </c>
      <c r="AF4" s="1">
        <f t="shared" si="1"/>
        <v>10</v>
      </c>
      <c r="AG4" s="1">
        <f t="shared" si="1"/>
        <v>11</v>
      </c>
      <c r="AH4" s="1">
        <f t="shared" si="1"/>
        <v>12</v>
      </c>
      <c r="AI4" s="1">
        <f t="shared" si="1"/>
        <v>13</v>
      </c>
      <c r="AJ4" s="1">
        <f t="shared" ref="AJ4:AO4" si="2">AI4+1</f>
        <v>14</v>
      </c>
      <c r="AK4" s="1">
        <f t="shared" si="2"/>
        <v>15</v>
      </c>
      <c r="AL4" s="1">
        <f t="shared" si="2"/>
        <v>16</v>
      </c>
      <c r="AM4" s="1">
        <f t="shared" si="2"/>
        <v>17</v>
      </c>
      <c r="AN4" s="1">
        <f t="shared" si="2"/>
        <v>18</v>
      </c>
      <c r="AO4" s="1">
        <f t="shared" si="2"/>
        <v>19</v>
      </c>
      <c r="AQ4" s="245"/>
      <c r="AR4" s="245"/>
      <c r="AS4" s="245"/>
      <c r="AT4" s="251" t="s">
        <v>121</v>
      </c>
      <c r="AU4" s="254" t="s">
        <v>122</v>
      </c>
      <c r="AV4" s="255"/>
      <c r="AW4" s="249"/>
      <c r="AX4" s="250"/>
    </row>
    <row r="5" spans="1:50" s="132" customFormat="1" ht="16.5" customHeight="1" x14ac:dyDescent="0.25">
      <c r="B5" s="133"/>
      <c r="C5" s="133"/>
      <c r="D5" s="133"/>
      <c r="E5" s="133"/>
      <c r="F5" s="134"/>
      <c r="G5" s="134"/>
      <c r="H5" s="134"/>
      <c r="I5" s="134"/>
      <c r="J5" s="134"/>
      <c r="K5" s="134"/>
      <c r="L5" s="134"/>
      <c r="N5" s="135" t="s">
        <v>159</v>
      </c>
      <c r="O5" s="136" t="s">
        <v>160</v>
      </c>
      <c r="P5" s="135" t="s">
        <v>159</v>
      </c>
      <c r="Q5" s="136" t="s">
        <v>160</v>
      </c>
      <c r="R5" s="135" t="s">
        <v>159</v>
      </c>
      <c r="S5" s="136" t="s">
        <v>160</v>
      </c>
      <c r="T5" s="137"/>
      <c r="U5" s="138"/>
      <c r="W5" s="133"/>
      <c r="X5" s="121"/>
      <c r="Y5" s="121"/>
      <c r="Z5" s="121"/>
      <c r="AA5" s="121"/>
      <c r="AB5" s="121"/>
      <c r="AC5" s="121"/>
      <c r="AD5" s="121"/>
      <c r="AE5" s="121"/>
      <c r="AF5" s="139"/>
      <c r="AG5" s="121"/>
      <c r="AH5" s="121"/>
      <c r="AI5" s="121"/>
      <c r="AJ5" s="121"/>
      <c r="AK5" s="121"/>
      <c r="AL5" s="121"/>
      <c r="AM5" s="121"/>
      <c r="AN5" s="121"/>
      <c r="AO5" s="121"/>
      <c r="AQ5" s="245"/>
      <c r="AR5" s="245"/>
      <c r="AS5" s="245"/>
      <c r="AT5" s="252"/>
      <c r="AU5" s="140"/>
      <c r="AV5" s="141"/>
      <c r="AW5" s="142"/>
      <c r="AX5" s="143"/>
    </row>
    <row r="6" spans="1:50" s="132" customFormat="1" ht="19.5" customHeight="1" x14ac:dyDescent="0.25">
      <c r="B6" s="133"/>
      <c r="C6" s="133"/>
      <c r="D6" s="133"/>
      <c r="E6" s="133"/>
      <c r="F6" s="144" t="s">
        <v>145</v>
      </c>
      <c r="G6" s="121"/>
      <c r="H6" s="121"/>
      <c r="I6" s="121"/>
      <c r="J6" s="121"/>
      <c r="K6" s="121"/>
      <c r="L6" s="121"/>
      <c r="N6" s="134"/>
      <c r="O6" s="134"/>
      <c r="P6" s="133"/>
      <c r="Q6" s="133"/>
      <c r="R6" s="144" t="s">
        <v>145</v>
      </c>
      <c r="S6" s="134"/>
      <c r="T6" s="134"/>
      <c r="U6" s="145"/>
      <c r="W6" s="133"/>
      <c r="X6" s="121"/>
      <c r="Y6" s="121"/>
      <c r="Z6" s="121"/>
      <c r="AA6" s="121"/>
      <c r="AB6" s="121"/>
      <c r="AC6" s="121"/>
      <c r="AD6" s="121"/>
      <c r="AE6" s="121"/>
      <c r="AF6" s="144" t="s">
        <v>145</v>
      </c>
      <c r="AG6" s="121"/>
      <c r="AH6" s="121"/>
      <c r="AI6" s="121"/>
      <c r="AJ6" s="121"/>
      <c r="AK6" s="121"/>
      <c r="AL6" s="121"/>
      <c r="AM6" s="121"/>
      <c r="AN6" s="121"/>
      <c r="AO6" s="121"/>
      <c r="AQ6" s="246"/>
      <c r="AR6" s="246"/>
      <c r="AS6" s="246"/>
      <c r="AT6" s="253"/>
      <c r="AU6" s="146" t="s">
        <v>123</v>
      </c>
      <c r="AV6" s="146" t="s">
        <v>124</v>
      </c>
      <c r="AW6" s="146" t="s">
        <v>125</v>
      </c>
      <c r="AX6" s="146" t="s">
        <v>126</v>
      </c>
    </row>
    <row r="7" spans="1:50" s="160" customFormat="1" ht="12.95" customHeight="1" x14ac:dyDescent="0.25">
      <c r="A7" s="227" t="s">
        <v>32</v>
      </c>
      <c r="B7" s="154">
        <v>25206.769999999997</v>
      </c>
      <c r="C7" s="155">
        <v>36970.129999999997</v>
      </c>
      <c r="D7" s="155">
        <v>32429.9</v>
      </c>
      <c r="E7" s="154">
        <f>B7+C7-D7</f>
        <v>29746.999999999993</v>
      </c>
      <c r="F7" s="156">
        <v>4964.4799999999996</v>
      </c>
      <c r="G7" s="156">
        <v>6415.1299999999992</v>
      </c>
      <c r="H7" s="156">
        <v>724188.08999999962</v>
      </c>
      <c r="I7" s="156">
        <v>593.08000000000004</v>
      </c>
      <c r="J7" s="156">
        <v>1800</v>
      </c>
      <c r="K7" s="156">
        <v>786.15999999999985</v>
      </c>
      <c r="L7" s="157">
        <v>724974.24999999965</v>
      </c>
      <c r="M7" s="227" t="s">
        <v>32</v>
      </c>
      <c r="N7" s="158">
        <v>213494.97999999998</v>
      </c>
      <c r="O7" s="158">
        <v>228750.63</v>
      </c>
      <c r="P7" s="158"/>
      <c r="Q7" s="158"/>
      <c r="R7" s="158">
        <v>88227.43</v>
      </c>
      <c r="S7" s="158">
        <v>121969.32</v>
      </c>
      <c r="T7" s="157">
        <f>N7+O7-R7-S7-E7</f>
        <v>202301.86</v>
      </c>
      <c r="U7" s="159"/>
      <c r="V7" s="227" t="s">
        <v>32</v>
      </c>
      <c r="W7" s="154">
        <v>44188.94</v>
      </c>
      <c r="X7" s="156">
        <v>2957.61</v>
      </c>
      <c r="Y7" s="156">
        <v>9330</v>
      </c>
      <c r="Z7" s="156">
        <v>1901.57</v>
      </c>
      <c r="AA7" s="156">
        <v>0</v>
      </c>
      <c r="AB7" s="156">
        <v>4923.08</v>
      </c>
      <c r="AC7" s="156">
        <v>3296.37</v>
      </c>
      <c r="AD7" s="156">
        <v>330.16</v>
      </c>
      <c r="AE7" s="156">
        <v>0</v>
      </c>
      <c r="AF7" s="156">
        <v>2138.13</v>
      </c>
      <c r="AG7" s="156"/>
      <c r="AH7" s="156">
        <v>2101.9675000000002</v>
      </c>
      <c r="AI7" s="156">
        <v>2942.7544999999996</v>
      </c>
      <c r="AJ7" s="156">
        <v>4064.5</v>
      </c>
      <c r="AK7" s="156">
        <v>33986.15</v>
      </c>
      <c r="AL7" s="157">
        <v>10202.799999999999</v>
      </c>
      <c r="AM7" s="156">
        <v>16112.97</v>
      </c>
      <c r="AN7" s="157">
        <v>-5910.17</v>
      </c>
      <c r="AO7" s="157">
        <v>-5910.17</v>
      </c>
      <c r="AQ7" s="156" t="s">
        <v>133</v>
      </c>
      <c r="AR7" s="157">
        <v>3543.91</v>
      </c>
      <c r="AS7" s="156">
        <v>40645.03</v>
      </c>
      <c r="AT7" s="157">
        <v>33986.15</v>
      </c>
      <c r="AU7" s="156" t="s">
        <v>156</v>
      </c>
      <c r="AV7" s="156">
        <v>16112.970000000001</v>
      </c>
      <c r="AW7" s="156"/>
      <c r="AX7" s="157">
        <v>-5910.17</v>
      </c>
    </row>
    <row r="8" spans="1:50" s="132" customFormat="1" ht="18" customHeight="1" x14ac:dyDescent="0.25">
      <c r="A8" s="228"/>
      <c r="B8" s="148"/>
      <c r="C8" s="133"/>
      <c r="D8" s="133"/>
      <c r="E8" s="148">
        <f t="shared" ref="E8:E20" si="3">B8+C8-D8</f>
        <v>0</v>
      </c>
      <c r="F8" s="144" t="s">
        <v>163</v>
      </c>
      <c r="G8" s="121"/>
      <c r="H8" s="121"/>
      <c r="I8" s="121"/>
      <c r="J8" s="121"/>
      <c r="K8" s="121"/>
      <c r="L8" s="122"/>
      <c r="M8" s="228"/>
      <c r="N8" s="134"/>
      <c r="O8" s="134"/>
      <c r="P8" s="133"/>
      <c r="Q8" s="133"/>
      <c r="R8" s="144" t="s">
        <v>163</v>
      </c>
      <c r="S8" s="134"/>
      <c r="T8" s="122"/>
      <c r="U8" s="149"/>
      <c r="V8" s="228"/>
      <c r="W8" s="148"/>
      <c r="X8" s="121"/>
      <c r="Y8" s="121"/>
      <c r="Z8" s="121"/>
      <c r="AA8" s="121"/>
      <c r="AB8" s="121"/>
      <c r="AC8" s="121"/>
      <c r="AD8" s="121"/>
      <c r="AE8" s="121"/>
      <c r="AF8" s="144" t="s">
        <v>163</v>
      </c>
      <c r="AG8" s="121"/>
      <c r="AH8" s="121"/>
      <c r="AI8" s="121"/>
      <c r="AJ8" s="121"/>
      <c r="AK8" s="121"/>
      <c r="AL8" s="122"/>
      <c r="AM8" s="121"/>
      <c r="AN8" s="122"/>
      <c r="AO8" s="122"/>
      <c r="AQ8" s="144" t="s">
        <v>163</v>
      </c>
      <c r="AR8" s="122"/>
      <c r="AS8" s="121"/>
      <c r="AT8" s="122"/>
      <c r="AU8" s="121"/>
      <c r="AV8" s="121"/>
      <c r="AW8" s="121"/>
      <c r="AX8" s="122"/>
    </row>
    <row r="9" spans="1:50" s="160" customFormat="1" ht="12" customHeight="1" x14ac:dyDescent="0.25">
      <c r="A9" s="227" t="s">
        <v>33</v>
      </c>
      <c r="B9" s="154">
        <f>E7</f>
        <v>29746.999999999993</v>
      </c>
      <c r="C9" s="155">
        <f>9330.96+3653.1+23989.87</f>
        <v>36973.93</v>
      </c>
      <c r="D9" s="155">
        <f>8702.58+3139.06+22639.41</f>
        <v>34481.050000000003</v>
      </c>
      <c r="E9" s="154">
        <f t="shared" si="3"/>
        <v>32239.87999999999</v>
      </c>
      <c r="F9" s="156">
        <f>1201.27+906.73+376.19+543.92+2371.9</f>
        <v>5400.01</v>
      </c>
      <c r="G9" s="156">
        <v>0</v>
      </c>
      <c r="H9" s="156">
        <f>H7+F9-G9</f>
        <v>729588.09999999963</v>
      </c>
      <c r="I9" s="156">
        <v>500</v>
      </c>
      <c r="J9" s="156">
        <v>879.24</v>
      </c>
      <c r="K9" s="156">
        <f>K7+I9-J9</f>
        <v>406.91999999999985</v>
      </c>
      <c r="L9" s="157">
        <f t="shared" ref="L9:L14" si="4">H9+K9</f>
        <v>729995.01999999967</v>
      </c>
      <c r="M9" s="227" t="s">
        <v>33</v>
      </c>
      <c r="N9" s="158">
        <f>228296.22-2567.42</f>
        <v>225728.8</v>
      </c>
      <c r="O9" s="158">
        <v>238102.26</v>
      </c>
      <c r="P9" s="158"/>
      <c r="Q9" s="158"/>
      <c r="R9" s="158">
        <f>91376.98</f>
        <v>91376.98</v>
      </c>
      <c r="S9" s="158">
        <f>121438.96</f>
        <v>121438.96</v>
      </c>
      <c r="T9" s="157">
        <f t="shared" ref="T9:T20" si="5">N9+O9-R9-S9-E9</f>
        <v>218775.24</v>
      </c>
      <c r="U9" s="159"/>
      <c r="V9" s="227" t="s">
        <v>33</v>
      </c>
      <c r="W9" s="154">
        <f>AO7+D9+G9+J9</f>
        <v>29450.120000000006</v>
      </c>
      <c r="X9" s="156">
        <v>5659.11</v>
      </c>
      <c r="Y9" s="156">
        <v>9330</v>
      </c>
      <c r="Z9" s="156">
        <v>1901.57</v>
      </c>
      <c r="AA9" s="156">
        <v>0</v>
      </c>
      <c r="AB9" s="156">
        <v>4923.08</v>
      </c>
      <c r="AC9" s="156">
        <v>3296.37</v>
      </c>
      <c r="AD9" s="156">
        <v>330.16</v>
      </c>
      <c r="AE9" s="156">
        <v>6316.1</v>
      </c>
      <c r="AF9" s="156">
        <v>2138.13</v>
      </c>
      <c r="AG9" s="156">
        <v>702.34</v>
      </c>
      <c r="AH9" s="156">
        <f t="shared" ref="AH9:AH14" si="6">(R9+S9)*1%</f>
        <v>2128.1594</v>
      </c>
      <c r="AI9" s="156">
        <f t="shared" ref="AI9:AI14" si="7">(R9+S9)*1.4%</f>
        <v>2979.4231599999998</v>
      </c>
      <c r="AJ9" s="156">
        <f>(D9+G9+J9)*10%</f>
        <v>3536.0290000000005</v>
      </c>
      <c r="AK9" s="156">
        <f t="shared" ref="AK9:AK14" si="8">SUM(X9:AJ9)</f>
        <v>43240.471559999991</v>
      </c>
      <c r="AL9" s="157">
        <f t="shared" ref="AL9:AL14" si="9">W9-AK9</f>
        <v>-13790.351559999985</v>
      </c>
      <c r="AM9" s="156"/>
      <c r="AN9" s="157">
        <f t="shared" ref="AN9:AN14" si="10">AL9-AM9</f>
        <v>-13790.351559999985</v>
      </c>
      <c r="AO9" s="157">
        <f t="shared" ref="AO9:AO14" si="11">AN9</f>
        <v>-13790.351559999985</v>
      </c>
      <c r="AQ9" s="156" t="s">
        <v>127</v>
      </c>
      <c r="AR9" s="157">
        <f>AO7</f>
        <v>-5910.17</v>
      </c>
      <c r="AS9" s="156">
        <f t="shared" ref="AS9:AS14" si="12">D9+G9+J9</f>
        <v>35360.29</v>
      </c>
      <c r="AT9" s="157">
        <f t="shared" ref="AT9:AT14" si="13">AK9</f>
        <v>43240.471559999991</v>
      </c>
      <c r="AU9" s="156"/>
      <c r="AV9" s="156"/>
      <c r="AW9" s="156"/>
      <c r="AX9" s="205">
        <f t="shared" ref="AX9:AX14" si="14">AR9+AS9-AT9-AV9</f>
        <v>-13790.351559999988</v>
      </c>
    </row>
    <row r="10" spans="1:50" s="132" customFormat="1" ht="22.5" customHeight="1" x14ac:dyDescent="0.25">
      <c r="A10" s="228" t="s">
        <v>34</v>
      </c>
      <c r="B10" s="148">
        <f t="shared" ref="B10:B20" si="15">E9</f>
        <v>32239.87999999999</v>
      </c>
      <c r="C10" s="133">
        <f>9330.96+3653.1+23989.87</f>
        <v>36973.93</v>
      </c>
      <c r="D10" s="133">
        <f>8845.67+2500.58+23702.27</f>
        <v>35048.520000000004</v>
      </c>
      <c r="E10" s="148">
        <f t="shared" si="3"/>
        <v>34165.289999999994</v>
      </c>
      <c r="F10" s="121">
        <f>1201.27+906.73+376.19+543.92+2371.79</f>
        <v>5399.9</v>
      </c>
      <c r="G10" s="121">
        <v>752.38</v>
      </c>
      <c r="H10" s="121">
        <f t="shared" ref="H10:H20" si="16">H9+F10-G10</f>
        <v>734235.61999999965</v>
      </c>
      <c r="I10" s="121">
        <v>500</v>
      </c>
      <c r="J10" s="121">
        <v>0</v>
      </c>
      <c r="K10" s="121">
        <f t="shared" ref="K10:K15" si="17">K9+I10-J10</f>
        <v>906.91999999999985</v>
      </c>
      <c r="L10" s="122">
        <f t="shared" si="4"/>
        <v>735142.53999999969</v>
      </c>
      <c r="M10" s="228" t="s">
        <v>34</v>
      </c>
      <c r="N10" s="134">
        <f>244576.48-3687.98</f>
        <v>240888.5</v>
      </c>
      <c r="O10" s="134">
        <f>248321.98-0.01</f>
        <v>248321.97</v>
      </c>
      <c r="P10" s="134"/>
      <c r="Q10" s="134"/>
      <c r="R10" s="134">
        <f>93379.47</f>
        <v>93379.47</v>
      </c>
      <c r="S10" s="134">
        <v>129764.84</v>
      </c>
      <c r="T10" s="122">
        <f>N10+O10-R10-S10-E10</f>
        <v>231900.87000000005</v>
      </c>
      <c r="U10" s="149"/>
      <c r="V10" s="228" t="s">
        <v>34</v>
      </c>
      <c r="W10" s="148">
        <f t="shared" ref="W10:W15" si="18">AO9+D10+G10+J10</f>
        <v>22010.54844000002</v>
      </c>
      <c r="X10" s="121">
        <v>5659.11</v>
      </c>
      <c r="Y10" s="121">
        <v>9330</v>
      </c>
      <c r="Z10" s="121">
        <v>7550.92</v>
      </c>
      <c r="AA10" s="121">
        <v>0</v>
      </c>
      <c r="AB10" s="121">
        <v>7425.17</v>
      </c>
      <c r="AC10" s="121">
        <v>19825.78</v>
      </c>
      <c r="AD10" s="121">
        <v>330.16</v>
      </c>
      <c r="AE10" s="121"/>
      <c r="AF10" s="121">
        <v>2138.13</v>
      </c>
      <c r="AG10" s="121"/>
      <c r="AH10" s="121">
        <f t="shared" si="6"/>
        <v>2231.4431</v>
      </c>
      <c r="AI10" s="121">
        <f t="shared" si="7"/>
        <v>3124.0203399999996</v>
      </c>
      <c r="AJ10" s="121">
        <f>(D10+G10+J10)*10%</f>
        <v>3580.09</v>
      </c>
      <c r="AK10" s="121">
        <f t="shared" si="8"/>
        <v>61194.823439999993</v>
      </c>
      <c r="AL10" s="122">
        <f t="shared" si="9"/>
        <v>-39184.274999999972</v>
      </c>
      <c r="AM10" s="121"/>
      <c r="AN10" s="122">
        <f t="shared" si="10"/>
        <v>-39184.274999999972</v>
      </c>
      <c r="AO10" s="122">
        <f t="shared" si="11"/>
        <v>-39184.274999999972</v>
      </c>
      <c r="AQ10" s="121" t="s">
        <v>129</v>
      </c>
      <c r="AR10" s="122">
        <f>AO9</f>
        <v>-13790.351559999985</v>
      </c>
      <c r="AS10" s="121">
        <f t="shared" si="12"/>
        <v>35800.9</v>
      </c>
      <c r="AT10" s="122">
        <f t="shared" si="13"/>
        <v>61194.823439999993</v>
      </c>
      <c r="AU10" s="121"/>
      <c r="AV10" s="121"/>
      <c r="AW10" s="121"/>
      <c r="AX10" s="204">
        <f t="shared" si="14"/>
        <v>-39184.27499999998</v>
      </c>
    </row>
    <row r="11" spans="1:50" s="132" customFormat="1" ht="15" customHeight="1" x14ac:dyDescent="0.25">
      <c r="A11" s="228" t="s">
        <v>35</v>
      </c>
      <c r="B11" s="161">
        <f t="shared" si="15"/>
        <v>34165.289999999994</v>
      </c>
      <c r="C11" s="162">
        <f>9330.96+3653.1+23989.87</f>
        <v>36973.93</v>
      </c>
      <c r="D11" s="162">
        <f>9061.84+3139.06+23705.85</f>
        <v>35906.75</v>
      </c>
      <c r="E11" s="161">
        <f t="shared" si="3"/>
        <v>35232.47</v>
      </c>
      <c r="F11" s="151">
        <f>2371.79+1201.27</f>
        <v>3573.06</v>
      </c>
      <c r="G11" s="151">
        <v>1201.7</v>
      </c>
      <c r="H11" s="121">
        <f t="shared" si="16"/>
        <v>736606.97999999975</v>
      </c>
      <c r="I11" s="121">
        <v>500</v>
      </c>
      <c r="J11" s="121">
        <v>0</v>
      </c>
      <c r="K11" s="121">
        <f t="shared" si="17"/>
        <v>1406.9199999999998</v>
      </c>
      <c r="L11" s="122">
        <f t="shared" si="4"/>
        <v>738013.89999999979</v>
      </c>
      <c r="M11" s="228" t="s">
        <v>35</v>
      </c>
      <c r="N11" s="152">
        <f>249704.37-2226.44</f>
        <v>247477.93</v>
      </c>
      <c r="O11" s="152">
        <v>259068.65</v>
      </c>
      <c r="P11" s="152"/>
      <c r="Q11" s="152"/>
      <c r="R11" s="152">
        <f>96921.15</f>
        <v>96921.15</v>
      </c>
      <c r="S11" s="151">
        <f>136110.59</f>
        <v>136110.59</v>
      </c>
      <c r="T11" s="152">
        <f t="shared" si="5"/>
        <v>238282.36999999997</v>
      </c>
      <c r="U11" s="150"/>
      <c r="V11" s="228" t="s">
        <v>35</v>
      </c>
      <c r="W11" s="148">
        <f t="shared" si="18"/>
        <v>-2075.8249999999725</v>
      </c>
      <c r="X11" s="121">
        <v>5659.11</v>
      </c>
      <c r="Y11" s="121">
        <v>9330</v>
      </c>
      <c r="Z11" s="121">
        <v>7550.92</v>
      </c>
      <c r="AA11" s="121">
        <v>0</v>
      </c>
      <c r="AB11" s="121">
        <v>7425.17</v>
      </c>
      <c r="AC11" s="121">
        <v>19825.78</v>
      </c>
      <c r="AD11" s="121">
        <v>330.16</v>
      </c>
      <c r="AE11" s="121"/>
      <c r="AF11" s="121">
        <v>2138.13</v>
      </c>
      <c r="AG11" s="121"/>
      <c r="AH11" s="121">
        <f t="shared" si="6"/>
        <v>2330.3173999999999</v>
      </c>
      <c r="AI11" s="121">
        <f t="shared" si="7"/>
        <v>3262.4443599999995</v>
      </c>
      <c r="AJ11" s="121">
        <f t="shared" ref="AJ11:AJ20" si="19">(D11+G11+J11)*10%</f>
        <v>3710.8449999999998</v>
      </c>
      <c r="AK11" s="121">
        <f t="shared" si="8"/>
        <v>61562.876759999999</v>
      </c>
      <c r="AL11" s="122">
        <f t="shared" si="9"/>
        <v>-63638.701759999974</v>
      </c>
      <c r="AM11" s="121"/>
      <c r="AN11" s="122">
        <f t="shared" si="10"/>
        <v>-63638.701759999974</v>
      </c>
      <c r="AO11" s="122">
        <f t="shared" si="11"/>
        <v>-63638.701759999974</v>
      </c>
      <c r="AQ11" s="151" t="s">
        <v>130</v>
      </c>
      <c r="AR11" s="122">
        <f>AO10</f>
        <v>-39184.274999999972</v>
      </c>
      <c r="AS11" s="121">
        <f t="shared" si="12"/>
        <v>37108.449999999997</v>
      </c>
      <c r="AT11" s="122">
        <f t="shared" si="13"/>
        <v>61562.876759999999</v>
      </c>
      <c r="AU11" s="121"/>
      <c r="AV11" s="121"/>
      <c r="AW11" s="121"/>
      <c r="AX11" s="204">
        <f t="shared" si="14"/>
        <v>-63638.701759999974</v>
      </c>
    </row>
    <row r="12" spans="1:50" s="132" customFormat="1" x14ac:dyDescent="0.25">
      <c r="A12" s="228" t="s">
        <v>36</v>
      </c>
      <c r="B12" s="163">
        <f t="shared" si="15"/>
        <v>35232.47</v>
      </c>
      <c r="C12" s="134">
        <f>9330.96+3653.1+23989.87</f>
        <v>36973.93</v>
      </c>
      <c r="D12" s="121">
        <f>8250.42+2819.82+21621.28</f>
        <v>32691.519999999997</v>
      </c>
      <c r="E12" s="161">
        <f t="shared" si="3"/>
        <v>39514.879999999997</v>
      </c>
      <c r="F12" s="121">
        <f>2395.17+5373.15+1526.36+2371.79+2074.13+1632.87+1201.27+247.88+247.88</f>
        <v>17070.500000000004</v>
      </c>
      <c r="G12" s="121">
        <f>1201.7</f>
        <v>1201.7</v>
      </c>
      <c r="H12" s="121">
        <f t="shared" si="16"/>
        <v>752475.7799999998</v>
      </c>
      <c r="I12" s="121">
        <v>500</v>
      </c>
      <c r="J12" s="121">
        <v>600</v>
      </c>
      <c r="K12" s="121">
        <f t="shared" si="17"/>
        <v>1306.9199999999998</v>
      </c>
      <c r="L12" s="122">
        <f t="shared" si="4"/>
        <v>753782.69999999984</v>
      </c>
      <c r="M12" s="228" t="s">
        <v>36</v>
      </c>
      <c r="N12" s="121">
        <f>257602-1810.67</f>
        <v>255791.33</v>
      </c>
      <c r="O12" s="121">
        <f>261489.45</f>
        <v>261489.45</v>
      </c>
      <c r="P12" s="121"/>
      <c r="Q12" s="121"/>
      <c r="R12" s="121">
        <f>78480.1</f>
        <v>78480.100000000006</v>
      </c>
      <c r="S12" s="121">
        <v>97816.56</v>
      </c>
      <c r="T12" s="152">
        <f t="shared" si="5"/>
        <v>301469.24000000005</v>
      </c>
      <c r="U12" s="150"/>
      <c r="V12" s="228" t="s">
        <v>36</v>
      </c>
      <c r="W12" s="148">
        <f t="shared" si="18"/>
        <v>-29145.481759999977</v>
      </c>
      <c r="X12" s="121">
        <v>5659.11</v>
      </c>
      <c r="Y12" s="121">
        <v>9330</v>
      </c>
      <c r="Z12" s="121">
        <v>7550.92</v>
      </c>
      <c r="AA12" s="121">
        <v>0</v>
      </c>
      <c r="AB12" s="121">
        <v>7425.17</v>
      </c>
      <c r="AC12" s="121">
        <v>19825.78</v>
      </c>
      <c r="AD12" s="121">
        <v>330.16</v>
      </c>
      <c r="AE12" s="121"/>
      <c r="AF12" s="121">
        <v>2138.13</v>
      </c>
      <c r="AG12" s="121"/>
      <c r="AH12" s="121">
        <f t="shared" si="6"/>
        <v>1762.9666</v>
      </c>
      <c r="AI12" s="121">
        <f t="shared" si="7"/>
        <v>2468.1532399999996</v>
      </c>
      <c r="AJ12" s="121">
        <f t="shared" si="19"/>
        <v>3449.3219999999997</v>
      </c>
      <c r="AK12" s="121">
        <f t="shared" si="8"/>
        <v>59939.711839999996</v>
      </c>
      <c r="AL12" s="122">
        <f t="shared" si="9"/>
        <v>-89085.19359999997</v>
      </c>
      <c r="AM12" s="121"/>
      <c r="AN12" s="122">
        <f t="shared" si="10"/>
        <v>-89085.19359999997</v>
      </c>
      <c r="AO12" s="122">
        <f t="shared" si="11"/>
        <v>-89085.19359999997</v>
      </c>
      <c r="AP12" s="121"/>
      <c r="AQ12" s="151" t="s">
        <v>131</v>
      </c>
      <c r="AR12" s="122">
        <f>AO11</f>
        <v>-63638.701759999974</v>
      </c>
      <c r="AS12" s="121">
        <f t="shared" si="12"/>
        <v>34493.219999999994</v>
      </c>
      <c r="AT12" s="122">
        <f t="shared" si="13"/>
        <v>59939.711839999996</v>
      </c>
      <c r="AU12" s="121"/>
      <c r="AV12" s="121"/>
      <c r="AW12" s="121"/>
      <c r="AX12" s="204">
        <f t="shared" si="14"/>
        <v>-89085.19359999997</v>
      </c>
    </row>
    <row r="13" spans="1:50" s="132" customFormat="1" x14ac:dyDescent="0.25">
      <c r="A13" s="228" t="s">
        <v>37</v>
      </c>
      <c r="B13" s="163">
        <f t="shared" si="15"/>
        <v>39514.879999999997</v>
      </c>
      <c r="C13" s="134">
        <f>9330.96+3353.06+24289.91</f>
        <v>36973.93</v>
      </c>
      <c r="D13" s="121">
        <f>9643+3135.5+25505.36</f>
        <v>38283.86</v>
      </c>
      <c r="E13" s="161">
        <f t="shared" si="3"/>
        <v>38204.949999999997</v>
      </c>
      <c r="F13" s="121">
        <f>2395.17+5373.15+1526.36+2371.79+2074.13+1632.87+1201.27+247.88+247.88</f>
        <v>17070.500000000004</v>
      </c>
      <c r="G13" s="121">
        <f>2402.74</f>
        <v>2402.7399999999998</v>
      </c>
      <c r="H13" s="121">
        <f t="shared" si="16"/>
        <v>767143.5399999998</v>
      </c>
      <c r="I13" s="121">
        <v>900</v>
      </c>
      <c r="J13" s="121">
        <v>900</v>
      </c>
      <c r="K13" s="121">
        <f t="shared" si="17"/>
        <v>1306.92</v>
      </c>
      <c r="L13" s="122">
        <f t="shared" si="4"/>
        <v>768450.45999999985</v>
      </c>
      <c r="M13" s="228" t="s">
        <v>37</v>
      </c>
      <c r="N13" s="121">
        <f>253863.7-1512.5</f>
        <v>252351.2</v>
      </c>
      <c r="O13" s="121">
        <v>233013.26</v>
      </c>
      <c r="P13" s="121"/>
      <c r="Q13" s="121"/>
      <c r="R13" s="121">
        <f>110196.73</f>
        <v>110196.73</v>
      </c>
      <c r="S13" s="121">
        <v>11721.6</v>
      </c>
      <c r="T13" s="152">
        <f t="shared" si="5"/>
        <v>325241.18000000005</v>
      </c>
      <c r="U13" s="150"/>
      <c r="V13" s="228" t="s">
        <v>37</v>
      </c>
      <c r="W13" s="148">
        <f t="shared" si="18"/>
        <v>-47498.593599999971</v>
      </c>
      <c r="X13" s="121">
        <v>5659.11</v>
      </c>
      <c r="Y13" s="121">
        <v>9330</v>
      </c>
      <c r="Z13" s="121">
        <v>7550.92</v>
      </c>
      <c r="AA13" s="121">
        <v>0</v>
      </c>
      <c r="AB13" s="121">
        <v>7425.17</v>
      </c>
      <c r="AC13" s="121">
        <v>19825.78</v>
      </c>
      <c r="AD13" s="121">
        <v>330.16</v>
      </c>
      <c r="AE13" s="121"/>
      <c r="AF13" s="121">
        <v>2138.13</v>
      </c>
      <c r="AG13" s="121"/>
      <c r="AH13" s="121">
        <f t="shared" si="6"/>
        <v>1219.1833000000001</v>
      </c>
      <c r="AI13" s="121">
        <f t="shared" si="7"/>
        <v>1706.8566199999998</v>
      </c>
      <c r="AJ13" s="121">
        <f t="shared" si="19"/>
        <v>4158.66</v>
      </c>
      <c r="AK13" s="121">
        <f t="shared" si="8"/>
        <v>59343.969919999989</v>
      </c>
      <c r="AL13" s="122">
        <f t="shared" si="9"/>
        <v>-106842.56351999997</v>
      </c>
      <c r="AM13" s="121">
        <v>6115.81</v>
      </c>
      <c r="AN13" s="122">
        <f t="shared" si="10"/>
        <v>-112958.37351999996</v>
      </c>
      <c r="AO13" s="122">
        <f t="shared" si="11"/>
        <v>-112958.37351999996</v>
      </c>
      <c r="AP13" s="121"/>
      <c r="AQ13" s="151" t="s">
        <v>37</v>
      </c>
      <c r="AR13" s="122">
        <f>AO12</f>
        <v>-89085.19359999997</v>
      </c>
      <c r="AS13" s="121">
        <f t="shared" si="12"/>
        <v>41586.6</v>
      </c>
      <c r="AT13" s="122">
        <f t="shared" si="13"/>
        <v>59343.969919999989</v>
      </c>
      <c r="AU13" s="166" t="s">
        <v>167</v>
      </c>
      <c r="AV13" s="121">
        <v>6115.81</v>
      </c>
      <c r="AW13" s="121"/>
      <c r="AX13" s="204">
        <f t="shared" si="14"/>
        <v>-112958.37351999996</v>
      </c>
    </row>
    <row r="14" spans="1:50" s="132" customFormat="1" x14ac:dyDescent="0.25">
      <c r="A14" s="228" t="s">
        <v>112</v>
      </c>
      <c r="B14" s="163">
        <f t="shared" si="15"/>
        <v>38204.949999999997</v>
      </c>
      <c r="C14" s="121">
        <f>9330.96+3353.06+24289.91</f>
        <v>36973.93</v>
      </c>
      <c r="D14" s="121">
        <f>8547.2+2209.78+23110.5</f>
        <v>33867.480000000003</v>
      </c>
      <c r="E14" s="134">
        <f t="shared" si="3"/>
        <v>41311.4</v>
      </c>
      <c r="F14" s="121">
        <f>2395.17+5373.15+1526.36+2371.79+2074.13+1632.87+1201.27+247.88+247.88</f>
        <v>17070.500000000004</v>
      </c>
      <c r="G14" s="121">
        <v>1201.27</v>
      </c>
      <c r="H14" s="121">
        <f t="shared" si="16"/>
        <v>783012.76999999979</v>
      </c>
      <c r="I14" s="121">
        <v>900</v>
      </c>
      <c r="J14" s="121">
        <v>0</v>
      </c>
      <c r="K14" s="121">
        <f t="shared" si="17"/>
        <v>2206.92</v>
      </c>
      <c r="L14" s="122">
        <f t="shared" si="4"/>
        <v>785219.68999999983</v>
      </c>
      <c r="M14" s="228" t="s">
        <v>112</v>
      </c>
      <c r="N14" s="121">
        <f>277608.51-1712.27</f>
        <v>275896.24</v>
      </c>
      <c r="O14" s="121">
        <v>135196.70000000001</v>
      </c>
      <c r="P14" s="121"/>
      <c r="Q14" s="121"/>
      <c r="R14" s="121">
        <v>98672.77</v>
      </c>
      <c r="S14" s="121">
        <v>1250.01</v>
      </c>
      <c r="T14" s="152">
        <f t="shared" si="5"/>
        <v>269858.75999999995</v>
      </c>
      <c r="U14" s="150"/>
      <c r="V14" s="228" t="s">
        <v>112</v>
      </c>
      <c r="W14" s="148">
        <f t="shared" si="18"/>
        <v>-77889.62351999995</v>
      </c>
      <c r="X14" s="121">
        <v>5659.11</v>
      </c>
      <c r="Y14" s="121">
        <v>9330</v>
      </c>
      <c r="Z14" s="121">
        <v>7550.92</v>
      </c>
      <c r="AA14" s="121">
        <v>0</v>
      </c>
      <c r="AB14" s="121">
        <v>7425.17</v>
      </c>
      <c r="AC14" s="121">
        <v>19825.78</v>
      </c>
      <c r="AD14" s="121">
        <v>330.16</v>
      </c>
      <c r="AE14" s="121"/>
      <c r="AF14" s="121">
        <v>2138.13</v>
      </c>
      <c r="AG14" s="121"/>
      <c r="AH14" s="121">
        <f t="shared" si="6"/>
        <v>999.2278</v>
      </c>
      <c r="AI14" s="121">
        <f t="shared" si="7"/>
        <v>1398.9189199999998</v>
      </c>
      <c r="AJ14" s="121">
        <f t="shared" si="19"/>
        <v>3506.875</v>
      </c>
      <c r="AK14" s="121">
        <f t="shared" si="8"/>
        <v>58164.291719999994</v>
      </c>
      <c r="AL14" s="122">
        <f t="shared" si="9"/>
        <v>-136053.91523999994</v>
      </c>
      <c r="AM14" s="121"/>
      <c r="AN14" s="122">
        <f t="shared" si="10"/>
        <v>-136053.91523999994</v>
      </c>
      <c r="AO14" s="122">
        <f t="shared" si="11"/>
        <v>-136053.91523999994</v>
      </c>
      <c r="AP14" s="121"/>
      <c r="AQ14" s="151" t="s">
        <v>38</v>
      </c>
      <c r="AR14" s="122">
        <f>AO13</f>
        <v>-112958.37351999996</v>
      </c>
      <c r="AS14" s="121">
        <f t="shared" si="12"/>
        <v>35068.75</v>
      </c>
      <c r="AT14" s="122">
        <f t="shared" si="13"/>
        <v>58164.291719999994</v>
      </c>
      <c r="AU14" s="121"/>
      <c r="AV14" s="121"/>
      <c r="AW14" s="121"/>
      <c r="AX14" s="204">
        <f t="shared" si="14"/>
        <v>-136053.91523999994</v>
      </c>
    </row>
    <row r="15" spans="1:50" s="132" customFormat="1" x14ac:dyDescent="0.25">
      <c r="A15" s="228" t="s">
        <v>113</v>
      </c>
      <c r="B15" s="163">
        <f t="shared" si="15"/>
        <v>41311.4</v>
      </c>
      <c r="C15" s="121">
        <f>9330.96+3353.06+24289.91</f>
        <v>36973.93</v>
      </c>
      <c r="D15" s="121">
        <f>23351.94+8905.74+3138.35</f>
        <v>35396.03</v>
      </c>
      <c r="E15" s="134">
        <f t="shared" si="3"/>
        <v>42889.3</v>
      </c>
      <c r="F15" s="121">
        <f>2395.17+5373.15+1526.36+2371.79+2074.13+1632.87+1201.27+247.88+247.88</f>
        <v>17070.500000000004</v>
      </c>
      <c r="G15" s="121">
        <f>4743.58+5802.02</f>
        <v>10545.6</v>
      </c>
      <c r="H15" s="121">
        <f t="shared" si="16"/>
        <v>789537.66999999981</v>
      </c>
      <c r="I15" s="121">
        <v>900</v>
      </c>
      <c r="J15" s="121">
        <v>1500</v>
      </c>
      <c r="K15" s="121">
        <f t="shared" si="17"/>
        <v>1606.92</v>
      </c>
      <c r="L15" s="122">
        <f t="shared" ref="L15:L20" si="20">H15+K15</f>
        <v>791144.58999999985</v>
      </c>
      <c r="M15" s="228" t="s">
        <v>113</v>
      </c>
      <c r="N15" s="121">
        <f>276933.59-1378.78</f>
        <v>275554.81</v>
      </c>
      <c r="O15" s="121">
        <f>123522.88-47.78</f>
        <v>123475.1</v>
      </c>
      <c r="P15" s="121">
        <f>99905.93</f>
        <v>99905.93</v>
      </c>
      <c r="Q15" s="121">
        <v>0</v>
      </c>
      <c r="R15" s="121">
        <v>91358.33</v>
      </c>
      <c r="S15" s="121">
        <v>2816.52</v>
      </c>
      <c r="T15" s="152">
        <f>N15+O15-R15-S15-E15</f>
        <v>261965.76</v>
      </c>
      <c r="U15" s="150"/>
      <c r="V15" s="228" t="s">
        <v>113</v>
      </c>
      <c r="W15" s="148">
        <f t="shared" si="18"/>
        <v>-88612.285239999939</v>
      </c>
      <c r="X15" s="121">
        <v>5659.11</v>
      </c>
      <c r="Y15" s="121">
        <v>9330</v>
      </c>
      <c r="Z15" s="121">
        <v>7550.92</v>
      </c>
      <c r="AA15" s="121">
        <v>0</v>
      </c>
      <c r="AB15" s="121">
        <v>7425.17</v>
      </c>
      <c r="AC15" s="121">
        <v>19825.78</v>
      </c>
      <c r="AD15" s="121">
        <v>330.16</v>
      </c>
      <c r="AE15" s="121"/>
      <c r="AF15" s="121">
        <v>2139.13</v>
      </c>
      <c r="AG15" s="121"/>
      <c r="AH15" s="121">
        <f t="shared" ref="AH15:AH20" si="21">(R15+S15)*1%</f>
        <v>941.74850000000004</v>
      </c>
      <c r="AI15" s="121">
        <f t="shared" ref="AI15:AI20" si="22">(R15+S15)*1.4%</f>
        <v>1318.4478999999999</v>
      </c>
      <c r="AJ15" s="121">
        <f t="shared" si="19"/>
        <v>4744.1629999999996</v>
      </c>
      <c r="AK15" s="121">
        <f t="shared" ref="AK15:AK20" si="23">SUM(X15:AJ15)</f>
        <v>59264.629399999998</v>
      </c>
      <c r="AL15" s="122">
        <f t="shared" ref="AL15:AL20" si="24">W15-AK15</f>
        <v>-147876.91463999994</v>
      </c>
      <c r="AM15" s="121"/>
      <c r="AN15" s="122">
        <f t="shared" ref="AN15:AN20" si="25">AL15-AM15</f>
        <v>-147876.91463999994</v>
      </c>
      <c r="AO15" s="122">
        <f t="shared" ref="AO15:AO20" si="26">AN15</f>
        <v>-147876.91463999994</v>
      </c>
      <c r="AP15" s="121"/>
      <c r="AQ15" s="151" t="s">
        <v>39</v>
      </c>
      <c r="AR15" s="122">
        <f t="shared" ref="AR15:AR20" si="27">AO14</f>
        <v>-136053.91523999994</v>
      </c>
      <c r="AS15" s="121">
        <f t="shared" ref="AS15:AS20" si="28">D15+G15+J15</f>
        <v>47441.63</v>
      </c>
      <c r="AT15" s="122">
        <f t="shared" ref="AT15:AT20" si="29">AK15</f>
        <v>59264.629399999998</v>
      </c>
      <c r="AU15" s="121"/>
      <c r="AV15" s="121"/>
      <c r="AW15" s="121"/>
      <c r="AX15" s="204">
        <f t="shared" ref="AX15:AX20" si="30">AR15+AS15-AT15-AV15</f>
        <v>-147876.91463999994</v>
      </c>
    </row>
    <row r="16" spans="1:50" s="132" customFormat="1" x14ac:dyDescent="0.25">
      <c r="A16" s="228" t="s">
        <v>28</v>
      </c>
      <c r="B16" s="163">
        <f t="shared" si="15"/>
        <v>42889.3</v>
      </c>
      <c r="C16" s="121">
        <f>9330.96+3363.06+24289.91</f>
        <v>36983.93</v>
      </c>
      <c r="D16" s="121">
        <f>10156.3+4679.77+25468.54</f>
        <v>40304.61</v>
      </c>
      <c r="E16" s="134">
        <f t="shared" si="3"/>
        <v>39568.62000000001</v>
      </c>
      <c r="F16" s="121">
        <f>2395.17+5373.15+1526.36+2371.79+2074.13+1632.87+1201.27+247.88+247.88</f>
        <v>17070.500000000004</v>
      </c>
      <c r="G16" s="121">
        <v>1160.97</v>
      </c>
      <c r="H16" s="121">
        <f t="shared" si="16"/>
        <v>805447.19999999984</v>
      </c>
      <c r="I16" s="121">
        <v>900</v>
      </c>
      <c r="J16" s="121">
        <v>1500</v>
      </c>
      <c r="K16" s="121">
        <f>K15+I16-J16</f>
        <v>1006.9200000000001</v>
      </c>
      <c r="L16" s="122">
        <f t="shared" si="20"/>
        <v>806454.11999999988</v>
      </c>
      <c r="M16" s="228" t="s">
        <v>28</v>
      </c>
      <c r="N16" s="121">
        <f>278289.4-1500.43</f>
        <v>276788.97000000003</v>
      </c>
      <c r="O16" s="121">
        <f>122851.99-626.9</f>
        <v>122225.09000000001</v>
      </c>
      <c r="P16" s="121">
        <v>92869.63</v>
      </c>
      <c r="Q16" s="121">
        <v>0</v>
      </c>
      <c r="R16" s="121">
        <v>111027.79</v>
      </c>
      <c r="S16" s="121">
        <v>10867.55</v>
      </c>
      <c r="T16" s="152">
        <f t="shared" si="5"/>
        <v>237550.10000000009</v>
      </c>
      <c r="U16" s="150"/>
      <c r="V16" s="228" t="s">
        <v>28</v>
      </c>
      <c r="W16" s="148">
        <f>AO15+D16+G16+J16</f>
        <v>-104911.33463999994</v>
      </c>
      <c r="X16" s="121">
        <v>5659.11</v>
      </c>
      <c r="Y16" s="121">
        <v>9330</v>
      </c>
      <c r="Z16" s="121">
        <v>7550.92</v>
      </c>
      <c r="AA16" s="121">
        <v>0</v>
      </c>
      <c r="AB16" s="121">
        <v>7425.17</v>
      </c>
      <c r="AC16" s="121">
        <v>19825.78</v>
      </c>
      <c r="AD16" s="121">
        <v>330.16</v>
      </c>
      <c r="AE16" s="121"/>
      <c r="AF16" s="121">
        <v>2140.13</v>
      </c>
      <c r="AG16" s="121"/>
      <c r="AH16" s="121">
        <f t="shared" si="21"/>
        <v>1218.9534000000001</v>
      </c>
      <c r="AI16" s="121">
        <f t="shared" si="22"/>
        <v>1706.5347599999998</v>
      </c>
      <c r="AJ16" s="121">
        <f t="shared" si="19"/>
        <v>4296.558</v>
      </c>
      <c r="AK16" s="121">
        <f t="shared" si="23"/>
        <v>59483.316159999995</v>
      </c>
      <c r="AL16" s="122">
        <f t="shared" si="24"/>
        <v>-164394.65079999994</v>
      </c>
      <c r="AM16" s="121"/>
      <c r="AN16" s="122">
        <f t="shared" si="25"/>
        <v>-164394.65079999994</v>
      </c>
      <c r="AO16" s="122">
        <f t="shared" si="26"/>
        <v>-164394.65079999994</v>
      </c>
      <c r="AP16" s="121"/>
      <c r="AQ16" s="151" t="s">
        <v>40</v>
      </c>
      <c r="AR16" s="122">
        <f t="shared" si="27"/>
        <v>-147876.91463999994</v>
      </c>
      <c r="AS16" s="121">
        <f t="shared" si="28"/>
        <v>42965.58</v>
      </c>
      <c r="AT16" s="122">
        <f t="shared" si="29"/>
        <v>59483.316159999995</v>
      </c>
      <c r="AU16" s="121"/>
      <c r="AV16" s="121"/>
      <c r="AW16" s="121"/>
      <c r="AX16" s="204">
        <f t="shared" si="30"/>
        <v>-164394.65079999994</v>
      </c>
    </row>
    <row r="17" spans="1:50" x14ac:dyDescent="0.25">
      <c r="A17" s="228" t="s">
        <v>29</v>
      </c>
      <c r="B17" s="163">
        <f t="shared" si="15"/>
        <v>39568.62000000001</v>
      </c>
      <c r="C17" s="121">
        <f>9330.96+3363.06+24289.91</f>
        <v>36983.93</v>
      </c>
      <c r="D17" s="1">
        <f>86012.85+2828.35+22988.41</f>
        <v>111829.61000000002</v>
      </c>
      <c r="E17" s="134">
        <f t="shared" si="3"/>
        <v>-35277.06</v>
      </c>
      <c r="F17" s="1">
        <v>18863.7</v>
      </c>
      <c r="G17" s="1">
        <v>7065.52</v>
      </c>
      <c r="H17" s="121">
        <f t="shared" si="16"/>
        <v>817245.37999999977</v>
      </c>
      <c r="I17" s="121">
        <v>900</v>
      </c>
      <c r="J17" s="1">
        <v>0</v>
      </c>
      <c r="K17" s="121">
        <f>K16+I17-J17</f>
        <v>1906.92</v>
      </c>
      <c r="L17" s="122">
        <f t="shared" si="20"/>
        <v>819152.29999999981</v>
      </c>
      <c r="M17" s="228" t="s">
        <v>29</v>
      </c>
      <c r="N17" s="121">
        <f>279586.06-1285.79</f>
        <v>278300.27</v>
      </c>
      <c r="O17" s="1">
        <f>120686.47-1277.9</f>
        <v>119408.57</v>
      </c>
      <c r="P17" s="1">
        <f>101937.03-415.54</f>
        <v>101521.49</v>
      </c>
      <c r="Q17" s="1">
        <v>0</v>
      </c>
      <c r="R17" s="1">
        <v>94863.07</v>
      </c>
      <c r="S17" s="1">
        <v>3415.55</v>
      </c>
      <c r="T17" s="152">
        <f t="shared" si="5"/>
        <v>334707.28000000003</v>
      </c>
      <c r="U17" s="150"/>
      <c r="V17" s="228" t="s">
        <v>29</v>
      </c>
      <c r="W17" s="148">
        <f>AO16+D17+G17+J17</f>
        <v>-45499.520799999926</v>
      </c>
      <c r="X17" s="121">
        <v>5659.11</v>
      </c>
      <c r="Y17" s="121">
        <v>9330</v>
      </c>
      <c r="Z17" s="121">
        <v>7550.92</v>
      </c>
      <c r="AA17" s="121">
        <v>0</v>
      </c>
      <c r="AB17" s="121">
        <v>7425.17</v>
      </c>
      <c r="AC17" s="121">
        <v>19825.78</v>
      </c>
      <c r="AD17" s="121">
        <v>330.16</v>
      </c>
      <c r="AE17" s="1"/>
      <c r="AF17" s="121">
        <v>2141.13</v>
      </c>
      <c r="AG17" s="121"/>
      <c r="AH17" s="121">
        <f t="shared" si="21"/>
        <v>982.78620000000012</v>
      </c>
      <c r="AI17" s="121">
        <f t="shared" si="22"/>
        <v>1375.90068</v>
      </c>
      <c r="AJ17" s="121">
        <f t="shared" si="19"/>
        <v>11889.513000000003</v>
      </c>
      <c r="AK17" s="121">
        <f t="shared" si="23"/>
        <v>66510.469880000004</v>
      </c>
      <c r="AL17" s="122">
        <f t="shared" si="24"/>
        <v>-112009.99067999993</v>
      </c>
      <c r="AM17" s="1"/>
      <c r="AN17" s="122">
        <f t="shared" si="25"/>
        <v>-112009.99067999993</v>
      </c>
      <c r="AO17" s="122">
        <f t="shared" si="26"/>
        <v>-112009.99067999993</v>
      </c>
      <c r="AP17" s="1"/>
      <c r="AQ17" s="151" t="s">
        <v>41</v>
      </c>
      <c r="AR17" s="122">
        <f t="shared" si="27"/>
        <v>-164394.65079999994</v>
      </c>
      <c r="AS17" s="121">
        <f t="shared" si="28"/>
        <v>118895.13000000002</v>
      </c>
      <c r="AT17" s="122">
        <f t="shared" si="29"/>
        <v>66510.469880000004</v>
      </c>
      <c r="AU17" s="121"/>
      <c r="AV17" s="121"/>
      <c r="AW17" s="121"/>
      <c r="AX17" s="204">
        <f t="shared" si="30"/>
        <v>-112009.99067999993</v>
      </c>
    </row>
    <row r="18" spans="1:50" x14ac:dyDescent="0.25">
      <c r="A18" s="228" t="s">
        <v>30</v>
      </c>
      <c r="B18" s="163">
        <f t="shared" si="15"/>
        <v>-35277.06</v>
      </c>
      <c r="C18" s="121">
        <f>9330.96+2725.25+24898.63</f>
        <v>36954.839999999997</v>
      </c>
      <c r="D18" s="1">
        <f>8952.02+2202.67+24298.52</f>
        <v>35453.21</v>
      </c>
      <c r="E18" s="134">
        <f t="shared" si="3"/>
        <v>-33775.43</v>
      </c>
      <c r="F18" s="1">
        <v>18863.7</v>
      </c>
      <c r="G18" s="1">
        <v>6106.9</v>
      </c>
      <c r="H18" s="121">
        <f t="shared" si="16"/>
        <v>830002.1799999997</v>
      </c>
      <c r="I18" s="121">
        <v>300</v>
      </c>
      <c r="J18" s="1">
        <v>0</v>
      </c>
      <c r="K18" s="121">
        <f>K17+I18-J18</f>
        <v>2206.92</v>
      </c>
      <c r="L18" s="122">
        <f t="shared" si="20"/>
        <v>832209.09999999974</v>
      </c>
      <c r="M18" s="228" t="s">
        <v>30</v>
      </c>
      <c r="N18" s="121">
        <f>270175.32-1381.35</f>
        <v>268793.97000000003</v>
      </c>
      <c r="O18" s="1">
        <f>110468.92-1927.9</f>
        <v>108541.02</v>
      </c>
      <c r="P18" s="1">
        <f>95639.76+10278.04</f>
        <v>105917.79999999999</v>
      </c>
      <c r="Q18" s="1">
        <v>0</v>
      </c>
      <c r="R18" s="1">
        <v>96761.56</v>
      </c>
      <c r="S18" s="1">
        <v>3880.46</v>
      </c>
      <c r="T18" s="152">
        <f t="shared" si="5"/>
        <v>310468.40000000002</v>
      </c>
      <c r="U18" s="150"/>
      <c r="V18" s="228" t="s">
        <v>30</v>
      </c>
      <c r="W18" s="148">
        <f>AO17+D18+G18+J18</f>
        <v>-70449.880679999944</v>
      </c>
      <c r="X18" s="121">
        <v>5659.11</v>
      </c>
      <c r="Y18" s="121">
        <v>9330</v>
      </c>
      <c r="Z18" s="121">
        <v>7550.92</v>
      </c>
      <c r="AA18" s="121">
        <v>0</v>
      </c>
      <c r="AB18" s="121">
        <v>7425.17</v>
      </c>
      <c r="AC18" s="121">
        <v>19825.78</v>
      </c>
      <c r="AD18" s="121">
        <v>330.16</v>
      </c>
      <c r="AE18" s="1"/>
      <c r="AF18" s="121">
        <v>2142.13</v>
      </c>
      <c r="AG18" s="121"/>
      <c r="AH18" s="121">
        <f t="shared" si="21"/>
        <v>1006.4202</v>
      </c>
      <c r="AI18" s="121">
        <f t="shared" si="22"/>
        <v>1408.9882799999998</v>
      </c>
      <c r="AJ18" s="121">
        <f t="shared" si="19"/>
        <v>4156.0110000000004</v>
      </c>
      <c r="AK18" s="121">
        <f t="shared" si="23"/>
        <v>58834.689479999994</v>
      </c>
      <c r="AL18" s="122">
        <f t="shared" si="24"/>
        <v>-129284.57015999994</v>
      </c>
      <c r="AM18" s="1">
        <v>46031.81</v>
      </c>
      <c r="AN18" s="122">
        <f t="shared" si="25"/>
        <v>-175316.38015999994</v>
      </c>
      <c r="AO18" s="122">
        <f t="shared" si="26"/>
        <v>-175316.38015999994</v>
      </c>
      <c r="AP18" s="1"/>
      <c r="AQ18" s="151" t="s">
        <v>42</v>
      </c>
      <c r="AR18" s="122">
        <f t="shared" si="27"/>
        <v>-112009.99067999993</v>
      </c>
      <c r="AS18" s="121">
        <f t="shared" si="28"/>
        <v>41560.11</v>
      </c>
      <c r="AT18" s="122">
        <f t="shared" si="29"/>
        <v>58834.689479999994</v>
      </c>
      <c r="AU18" s="121" t="s">
        <v>170</v>
      </c>
      <c r="AV18" s="121">
        <f>AM18</f>
        <v>46031.81</v>
      </c>
      <c r="AW18" s="121"/>
      <c r="AX18" s="204">
        <f t="shared" si="30"/>
        <v>-175316.38015999991</v>
      </c>
    </row>
    <row r="19" spans="1:50" x14ac:dyDescent="0.25">
      <c r="A19" s="228" t="s">
        <v>31</v>
      </c>
      <c r="B19" s="163">
        <f t="shared" si="15"/>
        <v>-33775.43</v>
      </c>
      <c r="C19" s="121">
        <f>9330.96+2725.25+24898.63</f>
        <v>36954.839999999997</v>
      </c>
      <c r="D19" s="1">
        <f>8503.78+2506.98+23083.62</f>
        <v>34094.379999999997</v>
      </c>
      <c r="E19" s="134">
        <f t="shared" si="3"/>
        <v>-30914.97</v>
      </c>
      <c r="F19" s="1">
        <v>18863.7</v>
      </c>
      <c r="G19" s="1">
        <v>2867.55</v>
      </c>
      <c r="H19" s="121">
        <f t="shared" si="16"/>
        <v>845998.32999999961</v>
      </c>
      <c r="I19" s="1">
        <v>300</v>
      </c>
      <c r="J19" s="1">
        <v>0</v>
      </c>
      <c r="K19" s="121">
        <f>K18+I19-J19</f>
        <v>2506.92</v>
      </c>
      <c r="L19" s="122">
        <f t="shared" si="20"/>
        <v>848505.24999999965</v>
      </c>
      <c r="M19" s="228" t="s">
        <v>31</v>
      </c>
      <c r="N19" s="121">
        <f>281025.16-1176.46</f>
        <v>279848.69999999995</v>
      </c>
      <c r="O19" s="1">
        <f>108303.37-3177.9</f>
        <v>105125.47</v>
      </c>
      <c r="P19" s="1">
        <f>90706.84+979.46</f>
        <v>91686.3</v>
      </c>
      <c r="Q19" s="1">
        <v>124158.18</v>
      </c>
      <c r="R19" s="1">
        <v>86199.99</v>
      </c>
      <c r="S19" s="1">
        <v>108320.35</v>
      </c>
      <c r="T19" s="152">
        <f t="shared" si="5"/>
        <v>221368.79999999993</v>
      </c>
      <c r="U19" s="150"/>
      <c r="V19" s="228" t="s">
        <v>31</v>
      </c>
      <c r="W19" s="148">
        <f>AO18+D19+G19+J19</f>
        <v>-138354.45015999995</v>
      </c>
      <c r="X19" s="121">
        <v>5659.11</v>
      </c>
      <c r="Y19" s="121">
        <v>9330</v>
      </c>
      <c r="Z19" s="121">
        <v>7550.92</v>
      </c>
      <c r="AA19" s="121">
        <v>0</v>
      </c>
      <c r="AB19" s="121">
        <v>7425.17</v>
      </c>
      <c r="AC19" s="121">
        <v>19825.78</v>
      </c>
      <c r="AD19" s="121">
        <v>330.16</v>
      </c>
      <c r="AE19" s="1"/>
      <c r="AF19" s="121">
        <v>2143.13</v>
      </c>
      <c r="AG19" s="121"/>
      <c r="AH19" s="121">
        <f t="shared" si="21"/>
        <v>1945.2034000000003</v>
      </c>
      <c r="AI19" s="121">
        <f t="shared" si="22"/>
        <v>2723.28476</v>
      </c>
      <c r="AJ19" s="121">
        <f t="shared" si="19"/>
        <v>3696.1930000000002</v>
      </c>
      <c r="AK19" s="121">
        <f t="shared" si="23"/>
        <v>60628.951159999997</v>
      </c>
      <c r="AL19" s="122">
        <f t="shared" si="24"/>
        <v>-198983.40131999995</v>
      </c>
      <c r="AM19" s="1"/>
      <c r="AN19" s="122">
        <f t="shared" si="25"/>
        <v>-198983.40131999995</v>
      </c>
      <c r="AO19" s="122">
        <f t="shared" si="26"/>
        <v>-198983.40131999995</v>
      </c>
      <c r="AP19" s="1"/>
      <c r="AQ19" s="151" t="s">
        <v>43</v>
      </c>
      <c r="AR19" s="122">
        <f t="shared" si="27"/>
        <v>-175316.38015999994</v>
      </c>
      <c r="AS19" s="121">
        <f t="shared" si="28"/>
        <v>36961.93</v>
      </c>
      <c r="AT19" s="122">
        <f t="shared" si="29"/>
        <v>60628.951159999997</v>
      </c>
      <c r="AU19" s="121"/>
      <c r="AV19" s="121">
        <f>AM19</f>
        <v>0</v>
      </c>
      <c r="AW19" s="121"/>
      <c r="AX19" s="204">
        <f t="shared" si="30"/>
        <v>-198983.40131999995</v>
      </c>
    </row>
    <row r="20" spans="1:50" x14ac:dyDescent="0.25">
      <c r="A20" s="228" t="s">
        <v>32</v>
      </c>
      <c r="B20" s="163">
        <f t="shared" si="15"/>
        <v>-30914.97</v>
      </c>
      <c r="C20" s="121">
        <f>9330.96+3353.06+24270.82</f>
        <v>36954.839999999997</v>
      </c>
      <c r="D20" s="1">
        <f>8618.7+1586.94+23685.61</f>
        <v>33891.25</v>
      </c>
      <c r="E20" s="134">
        <f t="shared" si="3"/>
        <v>-27851.380000000005</v>
      </c>
      <c r="F20" s="1">
        <v>18863.7</v>
      </c>
      <c r="G20" s="1">
        <v>4028.52</v>
      </c>
      <c r="H20" s="121">
        <f t="shared" si="16"/>
        <v>860833.50999999954</v>
      </c>
      <c r="I20" s="1">
        <v>900</v>
      </c>
      <c r="J20" s="1">
        <v>600</v>
      </c>
      <c r="K20" s="121">
        <f>K19+I20-J20</f>
        <v>2806.92</v>
      </c>
      <c r="L20" s="122">
        <f t="shared" si="20"/>
        <v>863640.42999999959</v>
      </c>
      <c r="M20" s="228" t="s">
        <v>32</v>
      </c>
      <c r="N20" s="121">
        <f>2763026.37-1252.93</f>
        <v>2761773.44</v>
      </c>
      <c r="O20" s="1">
        <f>229058.21-3655.02</f>
        <v>225403.19</v>
      </c>
      <c r="P20" s="1">
        <f>94655.28+302.21</f>
        <v>94957.49</v>
      </c>
      <c r="Q20" s="1">
        <v>131488.78</v>
      </c>
      <c r="R20" s="1">
        <v>83632.759999999995</v>
      </c>
      <c r="S20" s="1">
        <v>115131.49</v>
      </c>
      <c r="T20" s="122">
        <f t="shared" si="5"/>
        <v>2816263.76</v>
      </c>
      <c r="U20" s="150"/>
      <c r="V20" s="228" t="s">
        <v>32</v>
      </c>
      <c r="W20" s="148">
        <f>AO19+D20+G20+J20</f>
        <v>-160463.63131999996</v>
      </c>
      <c r="X20" s="121">
        <v>5659.11</v>
      </c>
      <c r="Y20" s="121">
        <v>9330</v>
      </c>
      <c r="Z20" s="121">
        <v>7550.92</v>
      </c>
      <c r="AA20" s="121">
        <v>0</v>
      </c>
      <c r="AB20" s="121">
        <v>7425.17</v>
      </c>
      <c r="AC20" s="121">
        <v>19825.78</v>
      </c>
      <c r="AD20" s="121">
        <v>330.16</v>
      </c>
      <c r="AE20" s="1"/>
      <c r="AF20" s="121">
        <v>2144.13</v>
      </c>
      <c r="AG20" s="121"/>
      <c r="AH20" s="121">
        <f t="shared" si="21"/>
        <v>1987.6425000000002</v>
      </c>
      <c r="AI20" s="121">
        <f t="shared" si="22"/>
        <v>2782.6994999999997</v>
      </c>
      <c r="AJ20" s="121">
        <f t="shared" si="19"/>
        <v>3851.9769999999999</v>
      </c>
      <c r="AK20" s="121">
        <f t="shared" si="23"/>
        <v>60887.589</v>
      </c>
      <c r="AL20" s="122">
        <f t="shared" si="24"/>
        <v>-221351.22031999996</v>
      </c>
      <c r="AM20" s="1">
        <v>9933.7199999999993</v>
      </c>
      <c r="AN20" s="122">
        <f t="shared" si="25"/>
        <v>-231284.94031999997</v>
      </c>
      <c r="AO20" s="122">
        <f t="shared" si="26"/>
        <v>-231284.94031999997</v>
      </c>
      <c r="AQ20" s="121" t="s">
        <v>133</v>
      </c>
      <c r="AR20" s="122">
        <f t="shared" si="27"/>
        <v>-198983.40131999995</v>
      </c>
      <c r="AS20" s="121">
        <f t="shared" si="28"/>
        <v>38519.769999999997</v>
      </c>
      <c r="AT20" s="122">
        <f t="shared" si="29"/>
        <v>60887.589</v>
      </c>
      <c r="AU20" s="121" t="s">
        <v>171</v>
      </c>
      <c r="AV20" s="121">
        <f>AM20</f>
        <v>9933.7199999999993</v>
      </c>
      <c r="AW20" s="121"/>
      <c r="AX20" s="204">
        <f t="shared" si="30"/>
        <v>-231284.94031999997</v>
      </c>
    </row>
    <row r="21" spans="1:50" x14ac:dyDescent="0.25">
      <c r="M21" s="169"/>
      <c r="U21"/>
    </row>
    <row r="22" spans="1:50" x14ac:dyDescent="0.25">
      <c r="U22"/>
    </row>
    <row r="23" spans="1:50" x14ac:dyDescent="0.25">
      <c r="U23"/>
    </row>
    <row r="24" spans="1:50" x14ac:dyDescent="0.25">
      <c r="U24"/>
    </row>
    <row r="25" spans="1:50" x14ac:dyDescent="0.25">
      <c r="U25"/>
    </row>
    <row r="26" spans="1:50" x14ac:dyDescent="0.25">
      <c r="U26"/>
    </row>
    <row r="27" spans="1:50" ht="15.75" x14ac:dyDescent="0.25">
      <c r="C27" s="105" t="s">
        <v>111</v>
      </c>
      <c r="D27" s="105"/>
      <c r="E27" s="105"/>
      <c r="X27" s="105"/>
      <c r="Y27" s="105"/>
      <c r="Z27" s="105"/>
      <c r="AA27" s="105" t="s">
        <v>152</v>
      </c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T27" s="74"/>
    </row>
    <row r="28" spans="1:50" ht="15" customHeight="1" x14ac:dyDescent="0.25">
      <c r="B28" s="232" t="s">
        <v>161</v>
      </c>
      <c r="C28" s="232" t="s">
        <v>15</v>
      </c>
      <c r="D28" s="232" t="s">
        <v>1</v>
      </c>
      <c r="E28" s="232" t="s">
        <v>162</v>
      </c>
      <c r="F28" s="232" t="s">
        <v>24</v>
      </c>
      <c r="G28" s="232" t="s">
        <v>25</v>
      </c>
      <c r="H28" s="232" t="s">
        <v>26</v>
      </c>
      <c r="I28" s="232" t="s">
        <v>135</v>
      </c>
      <c r="J28" s="232" t="s">
        <v>136</v>
      </c>
      <c r="K28" s="232" t="s">
        <v>137</v>
      </c>
      <c r="L28" s="311" t="s">
        <v>27</v>
      </c>
      <c r="M28" s="76"/>
      <c r="N28" s="76"/>
      <c r="O28" s="76"/>
      <c r="P28" s="76"/>
      <c r="Q28" s="76"/>
      <c r="R28" s="76"/>
      <c r="S28" s="76"/>
      <c r="W28" s="312" t="s">
        <v>14</v>
      </c>
      <c r="X28" s="268" t="s">
        <v>8</v>
      </c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70"/>
      <c r="AL28" s="266" t="s">
        <v>10</v>
      </c>
      <c r="AM28" s="266" t="s">
        <v>11</v>
      </c>
      <c r="AN28" s="266" t="s">
        <v>12</v>
      </c>
      <c r="AO28" s="266" t="s">
        <v>13</v>
      </c>
      <c r="AU28" s="74" t="s">
        <v>128</v>
      </c>
    </row>
    <row r="29" spans="1:50" ht="48.75" customHeight="1" x14ac:dyDescent="0.25"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311"/>
      <c r="M29" s="76"/>
      <c r="N29" s="236" t="s">
        <v>146</v>
      </c>
      <c r="O29" s="236"/>
      <c r="P29" s="236"/>
      <c r="Q29" s="236"/>
      <c r="R29" s="236"/>
      <c r="S29" s="236"/>
      <c r="T29" s="236"/>
      <c r="U29" s="112"/>
      <c r="W29" s="313"/>
      <c r="X29" s="164" t="s">
        <v>9</v>
      </c>
      <c r="Y29" s="4" t="s">
        <v>155</v>
      </c>
      <c r="Z29" s="165" t="s">
        <v>16</v>
      </c>
      <c r="AA29" s="5" t="s">
        <v>164</v>
      </c>
      <c r="AB29" s="5" t="s">
        <v>18</v>
      </c>
      <c r="AC29" s="6" t="s">
        <v>19</v>
      </c>
      <c r="AD29" s="6" t="s">
        <v>165</v>
      </c>
      <c r="AE29" s="6" t="str">
        <f t="shared" ref="AE29:AJ29" si="31">AE3</f>
        <v xml:space="preserve">ИП Рукина </v>
      </c>
      <c r="AF29" s="6" t="str">
        <f t="shared" si="31"/>
        <v>ГАСС</v>
      </c>
      <c r="AG29" s="6" t="str">
        <f t="shared" si="31"/>
        <v>Производственная база ЖКХ</v>
      </c>
      <c r="AH29" s="6" t="str">
        <f t="shared" si="31"/>
        <v>МИВЦ</v>
      </c>
      <c r="AI29" s="6" t="str">
        <f t="shared" si="31"/>
        <v>Банк, почта</v>
      </c>
      <c r="AJ29" s="6" t="str">
        <f t="shared" si="31"/>
        <v>Затраты на материалы</v>
      </c>
      <c r="AK29" s="7" t="s">
        <v>5</v>
      </c>
      <c r="AL29" s="267"/>
      <c r="AM29" s="267"/>
      <c r="AN29" s="267"/>
      <c r="AO29" s="267"/>
      <c r="AQ29" s="244" t="s">
        <v>209</v>
      </c>
      <c r="AR29" s="244" t="s">
        <v>117</v>
      </c>
      <c r="AS29" s="244" t="s">
        <v>118</v>
      </c>
      <c r="AT29" s="254" t="s">
        <v>119</v>
      </c>
      <c r="AU29" s="256"/>
      <c r="AV29" s="255"/>
      <c r="AW29" s="247" t="s">
        <v>120</v>
      </c>
      <c r="AX29" s="248"/>
    </row>
    <row r="30" spans="1:50" ht="16.5" customHeight="1" x14ac:dyDescent="0.25">
      <c r="B30" s="15">
        <v>1</v>
      </c>
      <c r="C30" s="14">
        <v>2</v>
      </c>
      <c r="D30" s="14">
        <f>C30+1</f>
        <v>3</v>
      </c>
      <c r="E30" s="14">
        <f>D30+1</f>
        <v>4</v>
      </c>
      <c r="F30" s="14">
        <v>5</v>
      </c>
      <c r="G30" s="14">
        <f t="shared" ref="G30:L30" si="32">F30+1</f>
        <v>6</v>
      </c>
      <c r="H30" s="14">
        <f t="shared" si="32"/>
        <v>7</v>
      </c>
      <c r="I30" s="14">
        <f t="shared" si="32"/>
        <v>8</v>
      </c>
      <c r="J30" s="14">
        <f t="shared" si="32"/>
        <v>9</v>
      </c>
      <c r="K30" s="14">
        <f t="shared" si="32"/>
        <v>10</v>
      </c>
      <c r="L30" s="14">
        <f t="shared" si="32"/>
        <v>11</v>
      </c>
      <c r="N30" s="234" t="s">
        <v>21</v>
      </c>
      <c r="O30" s="235"/>
      <c r="P30" s="234" t="s">
        <v>169</v>
      </c>
      <c r="Q30" s="235"/>
      <c r="R30" s="234" t="s">
        <v>22</v>
      </c>
      <c r="S30" s="235"/>
      <c r="T30" s="75" t="s">
        <v>23</v>
      </c>
      <c r="U30" s="113"/>
      <c r="W30" s="15">
        <v>1</v>
      </c>
      <c r="X30" s="1">
        <f>W30+1</f>
        <v>2</v>
      </c>
      <c r="Y30" s="1">
        <f t="shared" ref="Y30:AO30" si="33">X30+1</f>
        <v>3</v>
      </c>
      <c r="Z30" s="1">
        <f t="shared" si="33"/>
        <v>4</v>
      </c>
      <c r="AA30" s="1">
        <f t="shared" si="33"/>
        <v>5</v>
      </c>
      <c r="AB30" s="1">
        <f t="shared" si="33"/>
        <v>6</v>
      </c>
      <c r="AC30" s="1">
        <f t="shared" si="33"/>
        <v>7</v>
      </c>
      <c r="AD30" s="1">
        <f t="shared" si="33"/>
        <v>8</v>
      </c>
      <c r="AE30" s="1">
        <f t="shared" si="33"/>
        <v>9</v>
      </c>
      <c r="AF30" s="1">
        <f t="shared" si="33"/>
        <v>10</v>
      </c>
      <c r="AG30" s="1">
        <f t="shared" si="33"/>
        <v>11</v>
      </c>
      <c r="AH30" s="1">
        <f t="shared" si="33"/>
        <v>12</v>
      </c>
      <c r="AI30" s="1">
        <f t="shared" si="33"/>
        <v>13</v>
      </c>
      <c r="AJ30" s="1">
        <f t="shared" si="33"/>
        <v>14</v>
      </c>
      <c r="AK30" s="1">
        <f t="shared" si="33"/>
        <v>15</v>
      </c>
      <c r="AL30" s="1">
        <f t="shared" si="33"/>
        <v>16</v>
      </c>
      <c r="AM30" s="1">
        <f t="shared" si="33"/>
        <v>17</v>
      </c>
      <c r="AN30" s="1">
        <f t="shared" si="33"/>
        <v>18</v>
      </c>
      <c r="AO30" s="1">
        <f t="shared" si="33"/>
        <v>19</v>
      </c>
      <c r="AQ30" s="245"/>
      <c r="AR30" s="245"/>
      <c r="AS30" s="245"/>
      <c r="AT30" s="251" t="s">
        <v>121</v>
      </c>
      <c r="AU30" s="254" t="s">
        <v>122</v>
      </c>
      <c r="AV30" s="255"/>
      <c r="AW30" s="249"/>
      <c r="AX30" s="250"/>
    </row>
    <row r="31" spans="1:50" s="132" customFormat="1" ht="16.5" customHeight="1" x14ac:dyDescent="0.25">
      <c r="B31" s="133"/>
      <c r="C31" s="133"/>
      <c r="D31" s="133"/>
      <c r="E31" s="133"/>
      <c r="F31" s="134"/>
      <c r="G31" s="134"/>
      <c r="H31" s="134"/>
      <c r="I31" s="134"/>
      <c r="J31" s="134"/>
      <c r="K31" s="134"/>
      <c r="L31" s="134"/>
      <c r="N31" s="135" t="s">
        <v>159</v>
      </c>
      <c r="O31" s="136" t="s">
        <v>160</v>
      </c>
      <c r="P31" s="135" t="s">
        <v>159</v>
      </c>
      <c r="Q31" s="136" t="s">
        <v>160</v>
      </c>
      <c r="R31" s="135" t="s">
        <v>159</v>
      </c>
      <c r="S31" s="136" t="s">
        <v>160</v>
      </c>
      <c r="T31" s="137"/>
      <c r="U31" s="138"/>
      <c r="W31" s="133"/>
      <c r="X31" s="121"/>
      <c r="Y31" s="121"/>
      <c r="Z31" s="121"/>
      <c r="AA31" s="121"/>
      <c r="AB31" s="121"/>
      <c r="AC31" s="121"/>
      <c r="AD31" s="121"/>
      <c r="AE31" s="121"/>
      <c r="AF31" s="139"/>
      <c r="AG31" s="121"/>
      <c r="AH31" s="121"/>
      <c r="AI31" s="121"/>
      <c r="AJ31" s="121"/>
      <c r="AK31" s="121"/>
      <c r="AL31" s="121"/>
      <c r="AM31" s="121"/>
      <c r="AN31" s="121"/>
      <c r="AO31" s="121"/>
      <c r="AQ31" s="245"/>
      <c r="AR31" s="245"/>
      <c r="AS31" s="245"/>
      <c r="AT31" s="252"/>
      <c r="AU31" s="140"/>
      <c r="AV31" s="141"/>
      <c r="AW31" s="142"/>
      <c r="AX31" s="143"/>
    </row>
    <row r="32" spans="1:50" s="132" customFormat="1" ht="19.5" customHeight="1" x14ac:dyDescent="0.25">
      <c r="B32" s="133"/>
      <c r="C32" s="133"/>
      <c r="D32" s="133"/>
      <c r="E32" s="133"/>
      <c r="F32" s="144" t="s">
        <v>163</v>
      </c>
      <c r="G32" s="121"/>
      <c r="H32" s="121"/>
      <c r="I32" s="121"/>
      <c r="J32" s="121"/>
      <c r="K32" s="121"/>
      <c r="L32" s="121"/>
      <c r="N32" s="134"/>
      <c r="O32" s="134"/>
      <c r="P32" s="133"/>
      <c r="Q32" s="133"/>
      <c r="R32" s="144" t="s">
        <v>163</v>
      </c>
      <c r="S32" s="134"/>
      <c r="T32" s="134"/>
      <c r="U32" s="145"/>
      <c r="W32" s="133"/>
      <c r="X32" s="121"/>
      <c r="Y32" s="121"/>
      <c r="Z32" s="121"/>
      <c r="AA32" s="121"/>
      <c r="AB32" s="121"/>
      <c r="AC32" s="121"/>
      <c r="AD32" s="121"/>
      <c r="AE32" s="121"/>
      <c r="AF32" s="144" t="s">
        <v>163</v>
      </c>
      <c r="AG32" s="121"/>
      <c r="AH32" s="121"/>
      <c r="AI32" s="121"/>
      <c r="AJ32" s="121"/>
      <c r="AK32" s="121"/>
      <c r="AL32" s="121"/>
      <c r="AM32" s="121"/>
      <c r="AN32" s="121"/>
      <c r="AO32" s="121"/>
      <c r="AQ32" s="246"/>
      <c r="AR32" s="246"/>
      <c r="AS32" s="246"/>
      <c r="AT32" s="253"/>
      <c r="AU32" s="146" t="s">
        <v>123</v>
      </c>
      <c r="AV32" s="146" t="s">
        <v>124</v>
      </c>
      <c r="AW32" s="146" t="s">
        <v>125</v>
      </c>
      <c r="AX32" s="146" t="s">
        <v>126</v>
      </c>
    </row>
    <row r="33" spans="1:50" s="160" customFormat="1" ht="12.95" customHeight="1" x14ac:dyDescent="0.25">
      <c r="A33" s="153" t="s">
        <v>32</v>
      </c>
      <c r="B33" s="154">
        <f>B20</f>
        <v>-30914.97</v>
      </c>
      <c r="C33" s="154">
        <f t="shared" ref="C33:AX33" si="34">C20</f>
        <v>36954.839999999997</v>
      </c>
      <c r="D33" s="154">
        <f t="shared" si="34"/>
        <v>33891.25</v>
      </c>
      <c r="E33" s="154">
        <f t="shared" si="34"/>
        <v>-27851.380000000005</v>
      </c>
      <c r="F33" s="154">
        <f t="shared" si="34"/>
        <v>18863.7</v>
      </c>
      <c r="G33" s="154">
        <f t="shared" si="34"/>
        <v>4028.52</v>
      </c>
      <c r="H33" s="154">
        <f t="shared" si="34"/>
        <v>860833.50999999954</v>
      </c>
      <c r="I33" s="154">
        <f t="shared" si="34"/>
        <v>900</v>
      </c>
      <c r="J33" s="154">
        <f t="shared" si="34"/>
        <v>600</v>
      </c>
      <c r="K33" s="154">
        <f t="shared" si="34"/>
        <v>2806.92</v>
      </c>
      <c r="L33" s="154">
        <f t="shared" si="34"/>
        <v>863640.42999999959</v>
      </c>
      <c r="M33" s="154" t="str">
        <f t="shared" si="34"/>
        <v>дек</v>
      </c>
      <c r="N33" s="154">
        <f t="shared" si="34"/>
        <v>2761773.44</v>
      </c>
      <c r="O33" s="154">
        <f t="shared" si="34"/>
        <v>225403.19</v>
      </c>
      <c r="P33" s="154">
        <f t="shared" si="34"/>
        <v>94957.49</v>
      </c>
      <c r="Q33" s="154">
        <f t="shared" si="34"/>
        <v>131488.78</v>
      </c>
      <c r="R33" s="154">
        <f t="shared" si="34"/>
        <v>83632.759999999995</v>
      </c>
      <c r="S33" s="154">
        <f t="shared" si="34"/>
        <v>115131.49</v>
      </c>
      <c r="T33" s="154">
        <f t="shared" si="34"/>
        <v>2816263.76</v>
      </c>
      <c r="U33" s="154">
        <f t="shared" si="34"/>
        <v>0</v>
      </c>
      <c r="V33" s="154" t="str">
        <f t="shared" si="34"/>
        <v>дек</v>
      </c>
      <c r="W33" s="154">
        <f t="shared" si="34"/>
        <v>-160463.63131999996</v>
      </c>
      <c r="X33" s="154">
        <f t="shared" si="34"/>
        <v>5659.11</v>
      </c>
      <c r="Y33" s="154">
        <f t="shared" si="34"/>
        <v>9330</v>
      </c>
      <c r="Z33" s="154">
        <f t="shared" si="34"/>
        <v>7550.92</v>
      </c>
      <c r="AA33" s="154">
        <f t="shared" si="34"/>
        <v>0</v>
      </c>
      <c r="AB33" s="154">
        <f t="shared" si="34"/>
        <v>7425.17</v>
      </c>
      <c r="AC33" s="154">
        <f t="shared" si="34"/>
        <v>19825.78</v>
      </c>
      <c r="AD33" s="154">
        <f t="shared" si="34"/>
        <v>330.16</v>
      </c>
      <c r="AE33" s="154">
        <f t="shared" si="34"/>
        <v>0</v>
      </c>
      <c r="AF33" s="154">
        <f t="shared" si="34"/>
        <v>2144.13</v>
      </c>
      <c r="AG33" s="154">
        <f t="shared" si="34"/>
        <v>0</v>
      </c>
      <c r="AH33" s="154">
        <f t="shared" si="34"/>
        <v>1987.6425000000002</v>
      </c>
      <c r="AI33" s="154">
        <f t="shared" si="34"/>
        <v>2782.6994999999997</v>
      </c>
      <c r="AJ33" s="154">
        <f t="shared" si="34"/>
        <v>3851.9769999999999</v>
      </c>
      <c r="AK33" s="154">
        <f t="shared" si="34"/>
        <v>60887.589</v>
      </c>
      <c r="AL33" s="154">
        <f t="shared" si="34"/>
        <v>-221351.22031999996</v>
      </c>
      <c r="AM33" s="154">
        <f t="shared" si="34"/>
        <v>9933.7199999999993</v>
      </c>
      <c r="AN33" s="154">
        <f t="shared" si="34"/>
        <v>-231284.94031999997</v>
      </c>
      <c r="AO33" s="154">
        <f t="shared" si="34"/>
        <v>-231284.94031999997</v>
      </c>
      <c r="AP33" s="154">
        <f t="shared" si="34"/>
        <v>0</v>
      </c>
      <c r="AQ33" s="154" t="str">
        <f t="shared" si="34"/>
        <v>декабрь</v>
      </c>
      <c r="AR33" s="154">
        <f t="shared" si="34"/>
        <v>-198983.40131999995</v>
      </c>
      <c r="AS33" s="154">
        <f t="shared" si="34"/>
        <v>38519.769999999997</v>
      </c>
      <c r="AT33" s="154">
        <f t="shared" si="34"/>
        <v>60887.589</v>
      </c>
      <c r="AU33" s="154" t="str">
        <f t="shared" si="34"/>
        <v>изготовл.и могтаж мет.дв.</v>
      </c>
      <c r="AV33" s="154">
        <f t="shared" si="34"/>
        <v>9933.7199999999993</v>
      </c>
      <c r="AW33" s="154">
        <f t="shared" si="34"/>
        <v>0</v>
      </c>
      <c r="AX33" s="154">
        <f t="shared" si="34"/>
        <v>-231284.94031999997</v>
      </c>
    </row>
    <row r="34" spans="1:50" s="132" customFormat="1" ht="18" customHeight="1" x14ac:dyDescent="0.25">
      <c r="A34" s="147"/>
      <c r="B34" s="148"/>
      <c r="C34" s="133"/>
      <c r="D34" s="133"/>
      <c r="E34" s="148">
        <f t="shared" ref="E34:E46" si="35">B34+C34-D34</f>
        <v>0</v>
      </c>
      <c r="F34" s="144" t="s">
        <v>208</v>
      </c>
      <c r="G34" s="121"/>
      <c r="H34" s="121"/>
      <c r="I34" s="121"/>
      <c r="J34" s="121"/>
      <c r="K34" s="121"/>
      <c r="L34" s="122"/>
      <c r="M34" s="167"/>
      <c r="N34" s="134"/>
      <c r="O34" s="134"/>
      <c r="P34" s="133"/>
      <c r="Q34" s="133"/>
      <c r="R34" s="144" t="s">
        <v>208</v>
      </c>
      <c r="S34" s="134"/>
      <c r="T34" s="122"/>
      <c r="U34" s="149"/>
      <c r="V34" s="147"/>
      <c r="W34" s="148"/>
      <c r="X34" s="121"/>
      <c r="Y34" s="121"/>
      <c r="Z34" s="121"/>
      <c r="AA34" s="121"/>
      <c r="AB34" s="121"/>
      <c r="AC34" s="121"/>
      <c r="AD34" s="121"/>
      <c r="AE34" s="121"/>
      <c r="AF34" s="144" t="s">
        <v>208</v>
      </c>
      <c r="AG34" s="121"/>
      <c r="AH34" s="121"/>
      <c r="AI34" s="121"/>
      <c r="AJ34" s="121"/>
      <c r="AK34" s="121"/>
      <c r="AL34" s="122"/>
      <c r="AM34" s="121"/>
      <c r="AN34" s="122"/>
      <c r="AO34" s="122"/>
      <c r="AQ34" s="144" t="s">
        <v>208</v>
      </c>
      <c r="AR34" s="122"/>
      <c r="AS34" s="121"/>
      <c r="AT34" s="122"/>
      <c r="AU34" s="121"/>
      <c r="AV34" s="121"/>
      <c r="AW34" s="121"/>
      <c r="AX34" s="122"/>
    </row>
    <row r="35" spans="1:50" s="211" customFormat="1" ht="12" customHeight="1" x14ac:dyDescent="0.25">
      <c r="A35" s="206" t="s">
        <v>33</v>
      </c>
      <c r="B35" s="207">
        <f>E33</f>
        <v>-27851.380000000005</v>
      </c>
      <c r="C35" s="207">
        <v>40842.74</v>
      </c>
      <c r="D35" s="207">
        <v>39648.28</v>
      </c>
      <c r="E35" s="207">
        <f t="shared" si="35"/>
        <v>-26656.920000000006</v>
      </c>
      <c r="F35" s="205">
        <v>17030.2</v>
      </c>
      <c r="G35" s="205">
        <v>1656.73</v>
      </c>
      <c r="H35" s="205">
        <f>H33+F35-G35</f>
        <v>876206.97999999952</v>
      </c>
      <c r="I35" s="205">
        <v>900</v>
      </c>
      <c r="J35" s="205">
        <v>0</v>
      </c>
      <c r="K35" s="205">
        <f>K33+I35-J35</f>
        <v>3706.92</v>
      </c>
      <c r="L35" s="205">
        <f t="shared" ref="L35:L46" si="36">H35+K35</f>
        <v>879913.89999999956</v>
      </c>
      <c r="M35" s="208" t="s">
        <v>127</v>
      </c>
      <c r="N35" s="209">
        <v>283530.94</v>
      </c>
      <c r="O35" s="209"/>
      <c r="P35" s="209">
        <v>97743.44</v>
      </c>
      <c r="Q35" s="209"/>
      <c r="R35" s="209">
        <v>88586.16</v>
      </c>
      <c r="S35" s="209"/>
      <c r="T35" s="205">
        <f t="shared" ref="T35:T46" si="37">N35+O35-R35-S35-E35</f>
        <v>221601.7</v>
      </c>
      <c r="U35" s="210"/>
      <c r="V35" s="206" t="s">
        <v>127</v>
      </c>
      <c r="W35" s="207">
        <f>AO33+D35+G35+J35</f>
        <v>-189979.93031999996</v>
      </c>
      <c r="X35" s="205">
        <v>5659.11</v>
      </c>
      <c r="Y35" s="205">
        <v>13218.86</v>
      </c>
      <c r="Z35" s="205">
        <v>1901.57</v>
      </c>
      <c r="AA35" s="205">
        <v>0</v>
      </c>
      <c r="AB35" s="205">
        <v>4923.08</v>
      </c>
      <c r="AC35" s="205">
        <v>3296.37</v>
      </c>
      <c r="AD35" s="205">
        <v>330.16</v>
      </c>
      <c r="AE35" s="205">
        <v>6316.1</v>
      </c>
      <c r="AF35" s="205">
        <v>2138.13</v>
      </c>
      <c r="AG35" s="205">
        <v>702.34</v>
      </c>
      <c r="AH35" s="205">
        <f t="shared" ref="AH35:AH46" si="38">(R35+S35)*1%</f>
        <v>885.86160000000007</v>
      </c>
      <c r="AI35" s="205">
        <f t="shared" ref="AI35:AI46" si="39">(R35+S35)*1.4%</f>
        <v>1240.20624</v>
      </c>
      <c r="AJ35" s="205">
        <f>(D35+G35+J35)*10%</f>
        <v>4130.5010000000002</v>
      </c>
      <c r="AK35" s="205">
        <f t="shared" ref="AK35:AK40" si="40">SUM(X35:AJ35)</f>
        <v>44742.288839999994</v>
      </c>
      <c r="AL35" s="205">
        <f t="shared" ref="AL35:AL46" si="41">W35-AK35</f>
        <v>-234722.21915999995</v>
      </c>
      <c r="AM35" s="205"/>
      <c r="AN35" s="205">
        <f t="shared" ref="AN35:AN46" si="42">AL35-AM35</f>
        <v>-234722.21915999995</v>
      </c>
      <c r="AO35" s="205">
        <f t="shared" ref="AO35:AO46" si="43">AN35</f>
        <v>-234722.21915999995</v>
      </c>
      <c r="AQ35" s="205" t="s">
        <v>127</v>
      </c>
      <c r="AR35" s="205">
        <f>AO33</f>
        <v>-231284.94031999997</v>
      </c>
      <c r="AS35" s="205">
        <f t="shared" ref="AS35:AS46" si="44">D35+G35+J35</f>
        <v>41305.01</v>
      </c>
      <c r="AT35" s="205">
        <f t="shared" ref="AT35:AT46" si="45">AK35</f>
        <v>44742.288839999994</v>
      </c>
      <c r="AU35" s="205"/>
      <c r="AV35" s="205"/>
      <c r="AW35" s="205"/>
      <c r="AX35" s="205">
        <f t="shared" ref="AX35:AX46" si="46">AR35+AS35-AT35-AV35</f>
        <v>-234722.21915999995</v>
      </c>
    </row>
    <row r="36" spans="1:50" s="217" customFormat="1" ht="22.5" customHeight="1" x14ac:dyDescent="0.25">
      <c r="A36" s="212" t="s">
        <v>34</v>
      </c>
      <c r="B36" s="213">
        <f t="shared" ref="B36:B46" si="47">E35</f>
        <v>-26656.920000000006</v>
      </c>
      <c r="C36" s="213"/>
      <c r="D36" s="213">
        <v>38346.36</v>
      </c>
      <c r="E36" s="213">
        <f t="shared" si="35"/>
        <v>-65003.280000000006</v>
      </c>
      <c r="F36" s="225">
        <v>17030.2</v>
      </c>
      <c r="G36" s="204">
        <v>0</v>
      </c>
      <c r="H36" s="204">
        <f t="shared" ref="H36:H46" si="48">H35+F36-G36</f>
        <v>893237.17999999947</v>
      </c>
      <c r="I36" s="204">
        <v>900</v>
      </c>
      <c r="J36" s="204">
        <v>0</v>
      </c>
      <c r="K36" s="204">
        <f t="shared" ref="K36:K41" si="49">K35+I36-J36</f>
        <v>4606.92</v>
      </c>
      <c r="L36" s="204">
        <f t="shared" si="36"/>
        <v>897844.09999999951</v>
      </c>
      <c r="M36" s="214" t="s">
        <v>129</v>
      </c>
      <c r="N36" s="215">
        <v>297641.62</v>
      </c>
      <c r="O36" s="215"/>
      <c r="P36" s="215">
        <v>87844.27</v>
      </c>
      <c r="Q36" s="215"/>
      <c r="R36" s="215">
        <v>91660.64</v>
      </c>
      <c r="S36" s="215"/>
      <c r="T36" s="204">
        <f t="shared" si="37"/>
        <v>270984.26</v>
      </c>
      <c r="U36" s="216"/>
      <c r="V36" s="212" t="s">
        <v>129</v>
      </c>
      <c r="W36" s="213">
        <f t="shared" ref="W36:W41" si="50">AO35+D36+G36+J36</f>
        <v>-196375.85915999993</v>
      </c>
      <c r="X36" s="204">
        <v>5659.11</v>
      </c>
      <c r="Y36" s="204">
        <v>13218.86</v>
      </c>
      <c r="Z36" s="204">
        <v>7550.92</v>
      </c>
      <c r="AA36" s="204">
        <v>0</v>
      </c>
      <c r="AB36" s="204">
        <v>7425.17</v>
      </c>
      <c r="AC36" s="204">
        <v>19825.78</v>
      </c>
      <c r="AD36" s="204">
        <v>330.16</v>
      </c>
      <c r="AE36" s="204"/>
      <c r="AF36" s="204">
        <v>2138.13</v>
      </c>
      <c r="AG36" s="204"/>
      <c r="AH36" s="204">
        <f t="shared" si="38"/>
        <v>916.60640000000001</v>
      </c>
      <c r="AI36" s="204">
        <f t="shared" si="39"/>
        <v>1283.2489599999999</v>
      </c>
      <c r="AJ36" s="204">
        <f>(D36+G36+J36)*10%</f>
        <v>3834.6360000000004</v>
      </c>
      <c r="AK36" s="204">
        <f t="shared" si="40"/>
        <v>62182.62135999999</v>
      </c>
      <c r="AL36" s="204">
        <f t="shared" si="41"/>
        <v>-258558.48051999992</v>
      </c>
      <c r="AM36" s="204"/>
      <c r="AN36" s="204">
        <f t="shared" si="42"/>
        <v>-258558.48051999992</v>
      </c>
      <c r="AO36" s="204">
        <f t="shared" si="43"/>
        <v>-258558.48051999992</v>
      </c>
      <c r="AQ36" s="204" t="s">
        <v>129</v>
      </c>
      <c r="AR36" s="204">
        <f>AO35</f>
        <v>-234722.21915999995</v>
      </c>
      <c r="AS36" s="204">
        <f t="shared" si="44"/>
        <v>38346.36</v>
      </c>
      <c r="AT36" s="204">
        <f t="shared" si="45"/>
        <v>62182.62135999999</v>
      </c>
      <c r="AU36" s="204"/>
      <c r="AV36" s="204"/>
      <c r="AW36" s="204"/>
      <c r="AX36" s="204">
        <f t="shared" si="46"/>
        <v>-258558.48051999992</v>
      </c>
    </row>
    <row r="37" spans="1:50" s="217" customFormat="1" ht="15" customHeight="1" x14ac:dyDescent="0.25">
      <c r="A37" s="212" t="s">
        <v>35</v>
      </c>
      <c r="B37" s="218">
        <f t="shared" si="47"/>
        <v>-65003.280000000006</v>
      </c>
      <c r="C37" s="218"/>
      <c r="D37" s="218"/>
      <c r="E37" s="218">
        <f t="shared" si="35"/>
        <v>-65003.280000000006</v>
      </c>
      <c r="F37" s="219"/>
      <c r="G37" s="219"/>
      <c r="H37" s="204">
        <f t="shared" si="48"/>
        <v>893237.17999999947</v>
      </c>
      <c r="I37" s="204"/>
      <c r="J37" s="204"/>
      <c r="K37" s="204">
        <f t="shared" si="49"/>
        <v>4606.92</v>
      </c>
      <c r="L37" s="204">
        <f t="shared" si="36"/>
        <v>897844.09999999951</v>
      </c>
      <c r="M37" s="214" t="s">
        <v>130</v>
      </c>
      <c r="N37" s="219"/>
      <c r="O37" s="219"/>
      <c r="P37" s="219"/>
      <c r="Q37" s="219"/>
      <c r="R37" s="219"/>
      <c r="S37" s="219"/>
      <c r="T37" s="219">
        <f t="shared" si="37"/>
        <v>65003.280000000006</v>
      </c>
      <c r="U37" s="216"/>
      <c r="V37" s="212" t="s">
        <v>130</v>
      </c>
      <c r="W37" s="213">
        <f t="shared" si="50"/>
        <v>-258558.48051999992</v>
      </c>
      <c r="X37" s="204">
        <v>5659.11</v>
      </c>
      <c r="Y37" s="204">
        <v>13218.86</v>
      </c>
      <c r="Z37" s="204">
        <v>7550.92</v>
      </c>
      <c r="AA37" s="204">
        <v>0</v>
      </c>
      <c r="AB37" s="204">
        <v>7425.17</v>
      </c>
      <c r="AC37" s="204">
        <v>19825.78</v>
      </c>
      <c r="AD37" s="204">
        <v>330.16</v>
      </c>
      <c r="AE37" s="204"/>
      <c r="AF37" s="204">
        <v>2138.13</v>
      </c>
      <c r="AG37" s="204"/>
      <c r="AH37" s="204">
        <f t="shared" si="38"/>
        <v>0</v>
      </c>
      <c r="AI37" s="204">
        <f t="shared" si="39"/>
        <v>0</v>
      </c>
      <c r="AJ37" s="204">
        <f t="shared" ref="AJ37:AJ46" si="51">(D37+G37+J37)*10%</f>
        <v>0</v>
      </c>
      <c r="AK37" s="204">
        <f t="shared" si="40"/>
        <v>56148.13</v>
      </c>
      <c r="AL37" s="204">
        <f t="shared" si="41"/>
        <v>-314706.61051999993</v>
      </c>
      <c r="AM37" s="204"/>
      <c r="AN37" s="204">
        <f t="shared" si="42"/>
        <v>-314706.61051999993</v>
      </c>
      <c r="AO37" s="204">
        <f t="shared" si="43"/>
        <v>-314706.61051999993</v>
      </c>
      <c r="AQ37" s="219" t="s">
        <v>130</v>
      </c>
      <c r="AR37" s="204">
        <f>AO36</f>
        <v>-258558.48051999992</v>
      </c>
      <c r="AS37" s="204">
        <f t="shared" si="44"/>
        <v>0</v>
      </c>
      <c r="AT37" s="204">
        <f t="shared" si="45"/>
        <v>56148.13</v>
      </c>
      <c r="AU37" s="204"/>
      <c r="AV37" s="204"/>
      <c r="AW37" s="204"/>
      <c r="AX37" s="204">
        <f t="shared" si="46"/>
        <v>-314706.61051999993</v>
      </c>
    </row>
    <row r="38" spans="1:50" s="217" customFormat="1" x14ac:dyDescent="0.25">
      <c r="A38" s="212" t="s">
        <v>36</v>
      </c>
      <c r="B38" s="215">
        <f t="shared" si="47"/>
        <v>-65003.280000000006</v>
      </c>
      <c r="C38" s="215"/>
      <c r="D38" s="204"/>
      <c r="E38" s="218">
        <f t="shared" si="35"/>
        <v>-65003.280000000006</v>
      </c>
      <c r="F38" s="204"/>
      <c r="G38" s="204"/>
      <c r="H38" s="204">
        <f t="shared" si="48"/>
        <v>893237.17999999947</v>
      </c>
      <c r="I38" s="204"/>
      <c r="J38" s="204"/>
      <c r="K38" s="204">
        <f t="shared" si="49"/>
        <v>4606.92</v>
      </c>
      <c r="L38" s="204">
        <f t="shared" si="36"/>
        <v>897844.09999999951</v>
      </c>
      <c r="M38" s="220" t="s">
        <v>131</v>
      </c>
      <c r="N38" s="204"/>
      <c r="O38" s="204"/>
      <c r="P38" s="204"/>
      <c r="Q38" s="204"/>
      <c r="R38" s="204"/>
      <c r="S38" s="204"/>
      <c r="T38" s="219">
        <f t="shared" si="37"/>
        <v>65003.280000000006</v>
      </c>
      <c r="U38" s="204"/>
      <c r="V38" s="212" t="s">
        <v>131</v>
      </c>
      <c r="W38" s="213">
        <f t="shared" si="50"/>
        <v>-314706.61051999993</v>
      </c>
      <c r="X38" s="204">
        <v>5659.11</v>
      </c>
      <c r="Y38" s="204">
        <v>13218.86</v>
      </c>
      <c r="Z38" s="204">
        <v>7550.92</v>
      </c>
      <c r="AA38" s="204">
        <v>0</v>
      </c>
      <c r="AB38" s="204">
        <v>7425.17</v>
      </c>
      <c r="AC38" s="204">
        <v>19825.78</v>
      </c>
      <c r="AD38" s="204">
        <v>330.16</v>
      </c>
      <c r="AE38" s="204"/>
      <c r="AF38" s="204">
        <v>2138.13</v>
      </c>
      <c r="AG38" s="204"/>
      <c r="AH38" s="204">
        <f t="shared" si="38"/>
        <v>0</v>
      </c>
      <c r="AI38" s="204">
        <f t="shared" si="39"/>
        <v>0</v>
      </c>
      <c r="AJ38" s="204">
        <f t="shared" si="51"/>
        <v>0</v>
      </c>
      <c r="AK38" s="204">
        <f t="shared" si="40"/>
        <v>56148.13</v>
      </c>
      <c r="AL38" s="204">
        <f t="shared" si="41"/>
        <v>-370854.74051999993</v>
      </c>
      <c r="AM38" s="204"/>
      <c r="AN38" s="204">
        <f t="shared" si="42"/>
        <v>-370854.74051999993</v>
      </c>
      <c r="AO38" s="204">
        <f t="shared" si="43"/>
        <v>-370854.74051999993</v>
      </c>
      <c r="AP38" s="204"/>
      <c r="AQ38" s="219" t="s">
        <v>131</v>
      </c>
      <c r="AR38" s="204">
        <f>AO37</f>
        <v>-314706.61051999993</v>
      </c>
      <c r="AS38" s="204">
        <f t="shared" si="44"/>
        <v>0</v>
      </c>
      <c r="AT38" s="204">
        <f t="shared" si="45"/>
        <v>56148.13</v>
      </c>
      <c r="AU38" s="204"/>
      <c r="AV38" s="204"/>
      <c r="AW38" s="204"/>
      <c r="AX38" s="204">
        <f t="shared" si="46"/>
        <v>-370854.74051999993</v>
      </c>
    </row>
    <row r="39" spans="1:50" s="217" customFormat="1" x14ac:dyDescent="0.25">
      <c r="A39" s="212" t="s">
        <v>37</v>
      </c>
      <c r="B39" s="215">
        <f t="shared" si="47"/>
        <v>-65003.280000000006</v>
      </c>
      <c r="C39" s="215"/>
      <c r="D39" s="204"/>
      <c r="E39" s="218">
        <f t="shared" si="35"/>
        <v>-65003.280000000006</v>
      </c>
      <c r="F39" s="204"/>
      <c r="G39" s="204"/>
      <c r="H39" s="204">
        <f t="shared" si="48"/>
        <v>893237.17999999947</v>
      </c>
      <c r="I39" s="204"/>
      <c r="J39" s="204"/>
      <c r="K39" s="204">
        <f t="shared" si="49"/>
        <v>4606.92</v>
      </c>
      <c r="L39" s="204">
        <f t="shared" si="36"/>
        <v>897844.09999999951</v>
      </c>
      <c r="M39" s="220" t="s">
        <v>37</v>
      </c>
      <c r="N39" s="204"/>
      <c r="O39" s="204"/>
      <c r="P39" s="204"/>
      <c r="Q39" s="204"/>
      <c r="R39" s="204"/>
      <c r="S39" s="204"/>
      <c r="T39" s="219">
        <f t="shared" si="37"/>
        <v>65003.280000000006</v>
      </c>
      <c r="U39" s="204"/>
      <c r="V39" s="212" t="s">
        <v>37</v>
      </c>
      <c r="W39" s="213">
        <f t="shared" si="50"/>
        <v>-370854.74051999993</v>
      </c>
      <c r="X39" s="204">
        <v>5659.11</v>
      </c>
      <c r="Y39" s="204">
        <v>13218.86</v>
      </c>
      <c r="Z39" s="204">
        <v>7550.92</v>
      </c>
      <c r="AA39" s="204">
        <v>0</v>
      </c>
      <c r="AB39" s="204">
        <v>7425.17</v>
      </c>
      <c r="AC39" s="204">
        <v>19825.78</v>
      </c>
      <c r="AD39" s="204">
        <v>330.16</v>
      </c>
      <c r="AE39" s="204"/>
      <c r="AF39" s="204">
        <v>2138.13</v>
      </c>
      <c r="AG39" s="204"/>
      <c r="AH39" s="204">
        <f t="shared" si="38"/>
        <v>0</v>
      </c>
      <c r="AI39" s="204">
        <f t="shared" si="39"/>
        <v>0</v>
      </c>
      <c r="AJ39" s="204">
        <f t="shared" si="51"/>
        <v>0</v>
      </c>
      <c r="AK39" s="204">
        <f t="shared" si="40"/>
        <v>56148.13</v>
      </c>
      <c r="AL39" s="204">
        <f t="shared" si="41"/>
        <v>-427002.87051999994</v>
      </c>
      <c r="AM39" s="204"/>
      <c r="AN39" s="204">
        <f t="shared" si="42"/>
        <v>-427002.87051999994</v>
      </c>
      <c r="AO39" s="204">
        <f t="shared" si="43"/>
        <v>-427002.87051999994</v>
      </c>
      <c r="AP39" s="204"/>
      <c r="AQ39" s="219" t="s">
        <v>37</v>
      </c>
      <c r="AR39" s="204">
        <f>AO38</f>
        <v>-370854.74051999993</v>
      </c>
      <c r="AS39" s="204">
        <f t="shared" si="44"/>
        <v>0</v>
      </c>
      <c r="AT39" s="204">
        <f t="shared" si="45"/>
        <v>56148.13</v>
      </c>
      <c r="AU39" s="221"/>
      <c r="AV39" s="204"/>
      <c r="AW39" s="204"/>
      <c r="AX39" s="204">
        <f t="shared" si="46"/>
        <v>-427002.87051999994</v>
      </c>
    </row>
    <row r="40" spans="1:50" s="217" customFormat="1" x14ac:dyDescent="0.25">
      <c r="A40" s="212" t="s">
        <v>38</v>
      </c>
      <c r="B40" s="215">
        <f t="shared" si="47"/>
        <v>-65003.280000000006</v>
      </c>
      <c r="C40" s="204"/>
      <c r="D40" s="204"/>
      <c r="E40" s="215">
        <f t="shared" si="35"/>
        <v>-65003.280000000006</v>
      </c>
      <c r="F40" s="204"/>
      <c r="G40" s="204"/>
      <c r="H40" s="204">
        <f t="shared" si="48"/>
        <v>893237.17999999947</v>
      </c>
      <c r="I40" s="204"/>
      <c r="J40" s="204"/>
      <c r="K40" s="204">
        <f t="shared" si="49"/>
        <v>4606.92</v>
      </c>
      <c r="L40" s="204">
        <f t="shared" si="36"/>
        <v>897844.09999999951</v>
      </c>
      <c r="M40" s="220" t="s">
        <v>38</v>
      </c>
      <c r="N40" s="204"/>
      <c r="O40" s="204"/>
      <c r="P40" s="204"/>
      <c r="Q40" s="204"/>
      <c r="R40" s="204"/>
      <c r="S40" s="204"/>
      <c r="T40" s="219">
        <f t="shared" si="37"/>
        <v>65003.280000000006</v>
      </c>
      <c r="U40" s="204"/>
      <c r="V40" s="212" t="s">
        <v>38</v>
      </c>
      <c r="W40" s="213">
        <f t="shared" si="50"/>
        <v>-427002.87051999994</v>
      </c>
      <c r="X40" s="204">
        <v>5659.11</v>
      </c>
      <c r="Y40" s="204">
        <v>13218.86</v>
      </c>
      <c r="Z40" s="204">
        <v>7550.92</v>
      </c>
      <c r="AA40" s="204">
        <v>0</v>
      </c>
      <c r="AB40" s="204">
        <v>7425.17</v>
      </c>
      <c r="AC40" s="204">
        <v>19825.78</v>
      </c>
      <c r="AD40" s="204">
        <v>330.16</v>
      </c>
      <c r="AE40" s="204"/>
      <c r="AF40" s="204">
        <v>2138.13</v>
      </c>
      <c r="AG40" s="204"/>
      <c r="AH40" s="204">
        <f t="shared" si="38"/>
        <v>0</v>
      </c>
      <c r="AI40" s="204">
        <f t="shared" si="39"/>
        <v>0</v>
      </c>
      <c r="AJ40" s="204">
        <f t="shared" si="51"/>
        <v>0</v>
      </c>
      <c r="AK40" s="204">
        <f t="shared" si="40"/>
        <v>56148.13</v>
      </c>
      <c r="AL40" s="204">
        <f t="shared" si="41"/>
        <v>-483151.00051999994</v>
      </c>
      <c r="AM40" s="204"/>
      <c r="AN40" s="204">
        <f t="shared" si="42"/>
        <v>-483151.00051999994</v>
      </c>
      <c r="AO40" s="204">
        <f t="shared" si="43"/>
        <v>-483151.00051999994</v>
      </c>
      <c r="AP40" s="204"/>
      <c r="AQ40" s="219" t="s">
        <v>38</v>
      </c>
      <c r="AR40" s="204">
        <f>AO39</f>
        <v>-427002.87051999994</v>
      </c>
      <c r="AS40" s="204">
        <f t="shared" si="44"/>
        <v>0</v>
      </c>
      <c r="AT40" s="204">
        <f t="shared" si="45"/>
        <v>56148.13</v>
      </c>
      <c r="AU40" s="204"/>
      <c r="AV40" s="204"/>
      <c r="AW40" s="204"/>
      <c r="AX40" s="204">
        <f t="shared" si="46"/>
        <v>-483151.00051999994</v>
      </c>
    </row>
    <row r="41" spans="1:50" s="217" customFormat="1" x14ac:dyDescent="0.25">
      <c r="A41" s="212" t="s">
        <v>39</v>
      </c>
      <c r="B41" s="215">
        <f t="shared" si="47"/>
        <v>-65003.280000000006</v>
      </c>
      <c r="C41" s="204"/>
      <c r="D41" s="204"/>
      <c r="E41" s="215">
        <f t="shared" si="35"/>
        <v>-65003.280000000006</v>
      </c>
      <c r="F41" s="204"/>
      <c r="G41" s="204"/>
      <c r="H41" s="204">
        <f t="shared" si="48"/>
        <v>893237.17999999947</v>
      </c>
      <c r="I41" s="204"/>
      <c r="J41" s="204"/>
      <c r="K41" s="204">
        <f t="shared" si="49"/>
        <v>4606.92</v>
      </c>
      <c r="L41" s="204">
        <f t="shared" si="36"/>
        <v>897844.09999999951</v>
      </c>
      <c r="M41" s="220" t="s">
        <v>39</v>
      </c>
      <c r="N41" s="204"/>
      <c r="O41" s="204"/>
      <c r="P41" s="204"/>
      <c r="Q41" s="204"/>
      <c r="R41" s="204"/>
      <c r="S41" s="204"/>
      <c r="T41" s="219">
        <f t="shared" si="37"/>
        <v>65003.280000000006</v>
      </c>
      <c r="U41" s="204"/>
      <c r="V41" s="212" t="s">
        <v>39</v>
      </c>
      <c r="W41" s="213">
        <f t="shared" si="50"/>
        <v>-483151.00051999994</v>
      </c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>
        <f t="shared" si="38"/>
        <v>0</v>
      </c>
      <c r="AI41" s="204">
        <f t="shared" si="39"/>
        <v>0</v>
      </c>
      <c r="AJ41" s="204">
        <f t="shared" si="51"/>
        <v>0</v>
      </c>
      <c r="AK41" s="204">
        <f t="shared" ref="AK41:AK46" si="52">SUM(X41:AJ41)</f>
        <v>0</v>
      </c>
      <c r="AL41" s="204">
        <f t="shared" si="41"/>
        <v>-483151.00051999994</v>
      </c>
      <c r="AM41" s="204"/>
      <c r="AN41" s="204">
        <f t="shared" si="42"/>
        <v>-483151.00051999994</v>
      </c>
      <c r="AO41" s="204">
        <f t="shared" si="43"/>
        <v>-483151.00051999994</v>
      </c>
      <c r="AP41" s="204"/>
      <c r="AQ41" s="219" t="s">
        <v>39</v>
      </c>
      <c r="AR41" s="204">
        <f t="shared" ref="AR41:AR46" si="53">AO40</f>
        <v>-483151.00051999994</v>
      </c>
      <c r="AS41" s="204">
        <f t="shared" si="44"/>
        <v>0</v>
      </c>
      <c r="AT41" s="204">
        <f t="shared" si="45"/>
        <v>0</v>
      </c>
      <c r="AU41" s="204"/>
      <c r="AV41" s="204"/>
      <c r="AW41" s="204"/>
      <c r="AX41" s="204">
        <f t="shared" si="46"/>
        <v>-483151.00051999994</v>
      </c>
    </row>
    <row r="42" spans="1:50" s="217" customFormat="1" x14ac:dyDescent="0.25">
      <c r="A42" s="212" t="s">
        <v>40</v>
      </c>
      <c r="B42" s="215">
        <f t="shared" si="47"/>
        <v>-65003.280000000006</v>
      </c>
      <c r="C42" s="204"/>
      <c r="D42" s="204"/>
      <c r="E42" s="215">
        <f t="shared" si="35"/>
        <v>-65003.280000000006</v>
      </c>
      <c r="F42" s="204"/>
      <c r="G42" s="204"/>
      <c r="H42" s="204">
        <f t="shared" si="48"/>
        <v>893237.17999999947</v>
      </c>
      <c r="I42" s="204"/>
      <c r="J42" s="204"/>
      <c r="K42" s="204">
        <f>K41+I42-J42</f>
        <v>4606.92</v>
      </c>
      <c r="L42" s="204">
        <f t="shared" si="36"/>
        <v>897844.09999999951</v>
      </c>
      <c r="M42" s="220" t="s">
        <v>40</v>
      </c>
      <c r="N42" s="204"/>
      <c r="O42" s="204"/>
      <c r="P42" s="204"/>
      <c r="Q42" s="204"/>
      <c r="R42" s="204"/>
      <c r="S42" s="204"/>
      <c r="T42" s="219">
        <f t="shared" si="37"/>
        <v>65003.280000000006</v>
      </c>
      <c r="U42" s="204"/>
      <c r="V42" s="212" t="s">
        <v>40</v>
      </c>
      <c r="W42" s="213">
        <f>AO41+D42+G42+J42</f>
        <v>-483151.00051999994</v>
      </c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>
        <f t="shared" si="38"/>
        <v>0</v>
      </c>
      <c r="AI42" s="204">
        <f t="shared" si="39"/>
        <v>0</v>
      </c>
      <c r="AJ42" s="204">
        <f t="shared" si="51"/>
        <v>0</v>
      </c>
      <c r="AK42" s="204">
        <f t="shared" si="52"/>
        <v>0</v>
      </c>
      <c r="AL42" s="204">
        <f t="shared" si="41"/>
        <v>-483151.00051999994</v>
      </c>
      <c r="AM42" s="204"/>
      <c r="AN42" s="204">
        <f t="shared" si="42"/>
        <v>-483151.00051999994</v>
      </c>
      <c r="AO42" s="204">
        <f t="shared" si="43"/>
        <v>-483151.00051999994</v>
      </c>
      <c r="AP42" s="204"/>
      <c r="AQ42" s="219" t="s">
        <v>40</v>
      </c>
      <c r="AR42" s="204">
        <f t="shared" si="53"/>
        <v>-483151.00051999994</v>
      </c>
      <c r="AS42" s="204">
        <f t="shared" si="44"/>
        <v>0</v>
      </c>
      <c r="AT42" s="204">
        <f t="shared" si="45"/>
        <v>0</v>
      </c>
      <c r="AU42" s="204"/>
      <c r="AV42" s="204"/>
      <c r="AW42" s="204"/>
      <c r="AX42" s="204">
        <f t="shared" si="46"/>
        <v>-483151.00051999994</v>
      </c>
    </row>
    <row r="43" spans="1:50" s="223" customFormat="1" x14ac:dyDescent="0.25">
      <c r="A43" s="212" t="s">
        <v>41</v>
      </c>
      <c r="B43" s="215">
        <f t="shared" si="47"/>
        <v>-65003.280000000006</v>
      </c>
      <c r="C43" s="204"/>
      <c r="D43" s="222"/>
      <c r="E43" s="215">
        <f t="shared" si="35"/>
        <v>-65003.280000000006</v>
      </c>
      <c r="F43" s="222"/>
      <c r="G43" s="222"/>
      <c r="H43" s="204">
        <f t="shared" si="48"/>
        <v>893237.17999999947</v>
      </c>
      <c r="I43" s="204"/>
      <c r="J43" s="222"/>
      <c r="K43" s="204">
        <f>K42+I43-J43</f>
        <v>4606.92</v>
      </c>
      <c r="L43" s="204">
        <f t="shared" si="36"/>
        <v>897844.09999999951</v>
      </c>
      <c r="M43" s="220" t="s">
        <v>41</v>
      </c>
      <c r="N43" s="204"/>
      <c r="O43" s="222"/>
      <c r="P43" s="222"/>
      <c r="Q43" s="222"/>
      <c r="R43" s="222"/>
      <c r="S43" s="222"/>
      <c r="T43" s="219">
        <f t="shared" si="37"/>
        <v>65003.280000000006</v>
      </c>
      <c r="U43" s="222"/>
      <c r="V43" s="212" t="s">
        <v>41</v>
      </c>
      <c r="W43" s="213">
        <f>AO42+D43+G43+J43</f>
        <v>-483151.00051999994</v>
      </c>
      <c r="X43" s="204"/>
      <c r="Y43" s="204"/>
      <c r="Z43" s="204"/>
      <c r="AA43" s="204"/>
      <c r="AB43" s="204"/>
      <c r="AC43" s="204"/>
      <c r="AD43" s="204"/>
      <c r="AE43" s="222"/>
      <c r="AF43" s="204"/>
      <c r="AG43" s="204"/>
      <c r="AH43" s="204">
        <f t="shared" si="38"/>
        <v>0</v>
      </c>
      <c r="AI43" s="204">
        <f t="shared" si="39"/>
        <v>0</v>
      </c>
      <c r="AJ43" s="204">
        <f t="shared" si="51"/>
        <v>0</v>
      </c>
      <c r="AK43" s="204">
        <f t="shared" si="52"/>
        <v>0</v>
      </c>
      <c r="AL43" s="204">
        <f t="shared" si="41"/>
        <v>-483151.00051999994</v>
      </c>
      <c r="AM43" s="222"/>
      <c r="AN43" s="204">
        <f t="shared" si="42"/>
        <v>-483151.00051999994</v>
      </c>
      <c r="AO43" s="204">
        <f t="shared" si="43"/>
        <v>-483151.00051999994</v>
      </c>
      <c r="AP43" s="222"/>
      <c r="AQ43" s="219" t="s">
        <v>41</v>
      </c>
      <c r="AR43" s="204">
        <f t="shared" si="53"/>
        <v>-483151.00051999994</v>
      </c>
      <c r="AS43" s="204">
        <f t="shared" si="44"/>
        <v>0</v>
      </c>
      <c r="AT43" s="204">
        <f t="shared" si="45"/>
        <v>0</v>
      </c>
      <c r="AU43" s="204"/>
      <c r="AV43" s="204"/>
      <c r="AW43" s="204"/>
      <c r="AX43" s="204">
        <f t="shared" si="46"/>
        <v>-483151.00051999994</v>
      </c>
    </row>
    <row r="44" spans="1:50" s="223" customFormat="1" x14ac:dyDescent="0.25">
      <c r="A44" s="212" t="s">
        <v>42</v>
      </c>
      <c r="B44" s="215">
        <f t="shared" si="47"/>
        <v>-65003.280000000006</v>
      </c>
      <c r="C44" s="204"/>
      <c r="D44" s="222"/>
      <c r="E44" s="215">
        <f t="shared" si="35"/>
        <v>-65003.280000000006</v>
      </c>
      <c r="F44" s="222"/>
      <c r="G44" s="222"/>
      <c r="H44" s="204">
        <f t="shared" si="48"/>
        <v>893237.17999999947</v>
      </c>
      <c r="I44" s="204"/>
      <c r="J44" s="222"/>
      <c r="K44" s="204">
        <f>K43+I44-J44</f>
        <v>4606.92</v>
      </c>
      <c r="L44" s="204">
        <f t="shared" si="36"/>
        <v>897844.09999999951</v>
      </c>
      <c r="M44" s="220" t="s">
        <v>42</v>
      </c>
      <c r="N44" s="204"/>
      <c r="O44" s="222"/>
      <c r="P44" s="222"/>
      <c r="Q44" s="222"/>
      <c r="R44" s="222"/>
      <c r="S44" s="222"/>
      <c r="T44" s="219">
        <f t="shared" si="37"/>
        <v>65003.280000000006</v>
      </c>
      <c r="U44" s="222"/>
      <c r="V44" s="212" t="s">
        <v>42</v>
      </c>
      <c r="W44" s="213">
        <f>AO43+D44+G44+J44</f>
        <v>-483151.00051999994</v>
      </c>
      <c r="X44" s="204"/>
      <c r="Y44" s="204"/>
      <c r="Z44" s="204"/>
      <c r="AA44" s="204"/>
      <c r="AB44" s="204"/>
      <c r="AC44" s="204"/>
      <c r="AD44" s="204"/>
      <c r="AE44" s="222"/>
      <c r="AF44" s="204"/>
      <c r="AG44" s="204"/>
      <c r="AH44" s="204">
        <f t="shared" si="38"/>
        <v>0</v>
      </c>
      <c r="AI44" s="204">
        <f t="shared" si="39"/>
        <v>0</v>
      </c>
      <c r="AJ44" s="204">
        <f t="shared" si="51"/>
        <v>0</v>
      </c>
      <c r="AK44" s="204">
        <f t="shared" si="52"/>
        <v>0</v>
      </c>
      <c r="AL44" s="204">
        <f t="shared" si="41"/>
        <v>-483151.00051999994</v>
      </c>
      <c r="AM44" s="222"/>
      <c r="AN44" s="204">
        <f t="shared" si="42"/>
        <v>-483151.00051999994</v>
      </c>
      <c r="AO44" s="204">
        <f t="shared" si="43"/>
        <v>-483151.00051999994</v>
      </c>
      <c r="AP44" s="222"/>
      <c r="AQ44" s="219" t="s">
        <v>42</v>
      </c>
      <c r="AR44" s="204">
        <f t="shared" si="53"/>
        <v>-483151.00051999994</v>
      </c>
      <c r="AS44" s="204">
        <f t="shared" si="44"/>
        <v>0</v>
      </c>
      <c r="AT44" s="204">
        <f t="shared" si="45"/>
        <v>0</v>
      </c>
      <c r="AU44" s="204"/>
      <c r="AV44" s="204"/>
      <c r="AW44" s="204"/>
      <c r="AX44" s="204">
        <f t="shared" si="46"/>
        <v>-483151.00051999994</v>
      </c>
    </row>
    <row r="45" spans="1:50" s="223" customFormat="1" x14ac:dyDescent="0.25">
      <c r="A45" s="212" t="s">
        <v>43</v>
      </c>
      <c r="B45" s="215">
        <f t="shared" si="47"/>
        <v>-65003.280000000006</v>
      </c>
      <c r="C45" s="204"/>
      <c r="D45" s="222"/>
      <c r="E45" s="215">
        <f t="shared" si="35"/>
        <v>-65003.280000000006</v>
      </c>
      <c r="F45" s="222"/>
      <c r="G45" s="222"/>
      <c r="H45" s="204">
        <f t="shared" si="48"/>
        <v>893237.17999999947</v>
      </c>
      <c r="I45" s="222"/>
      <c r="J45" s="222"/>
      <c r="K45" s="204">
        <f>K44+I45-J45</f>
        <v>4606.92</v>
      </c>
      <c r="L45" s="204">
        <f t="shared" si="36"/>
        <v>897844.09999999951</v>
      </c>
      <c r="M45" s="220" t="s">
        <v>43</v>
      </c>
      <c r="N45" s="204"/>
      <c r="O45" s="222"/>
      <c r="P45" s="222"/>
      <c r="Q45" s="222"/>
      <c r="R45" s="222"/>
      <c r="S45" s="222"/>
      <c r="T45" s="219">
        <f t="shared" si="37"/>
        <v>65003.280000000006</v>
      </c>
      <c r="U45" s="222"/>
      <c r="V45" s="212" t="s">
        <v>43</v>
      </c>
      <c r="W45" s="213">
        <f>AO44+D45+G45+J45</f>
        <v>-483151.00051999994</v>
      </c>
      <c r="X45" s="204"/>
      <c r="Y45" s="204"/>
      <c r="Z45" s="204"/>
      <c r="AA45" s="204"/>
      <c r="AB45" s="204"/>
      <c r="AC45" s="204"/>
      <c r="AD45" s="204"/>
      <c r="AE45" s="222"/>
      <c r="AF45" s="204"/>
      <c r="AG45" s="204"/>
      <c r="AH45" s="204">
        <f t="shared" si="38"/>
        <v>0</v>
      </c>
      <c r="AI45" s="204">
        <f t="shared" si="39"/>
        <v>0</v>
      </c>
      <c r="AJ45" s="204">
        <f t="shared" si="51"/>
        <v>0</v>
      </c>
      <c r="AK45" s="204">
        <f t="shared" si="52"/>
        <v>0</v>
      </c>
      <c r="AL45" s="204">
        <f t="shared" si="41"/>
        <v>-483151.00051999994</v>
      </c>
      <c r="AM45" s="222"/>
      <c r="AN45" s="204">
        <f t="shared" si="42"/>
        <v>-483151.00051999994</v>
      </c>
      <c r="AO45" s="204">
        <f t="shared" si="43"/>
        <v>-483151.00051999994</v>
      </c>
      <c r="AP45" s="222"/>
      <c r="AQ45" s="219" t="s">
        <v>43</v>
      </c>
      <c r="AR45" s="204">
        <f t="shared" si="53"/>
        <v>-483151.00051999994</v>
      </c>
      <c r="AS45" s="204">
        <f t="shared" si="44"/>
        <v>0</v>
      </c>
      <c r="AT45" s="204">
        <f t="shared" si="45"/>
        <v>0</v>
      </c>
      <c r="AU45" s="204"/>
      <c r="AV45" s="204"/>
      <c r="AW45" s="204"/>
      <c r="AX45" s="204">
        <f t="shared" si="46"/>
        <v>-483151.00051999994</v>
      </c>
    </row>
    <row r="46" spans="1:50" s="223" customFormat="1" x14ac:dyDescent="0.25">
      <c r="A46" s="212" t="s">
        <v>133</v>
      </c>
      <c r="B46" s="215">
        <f t="shared" si="47"/>
        <v>-65003.280000000006</v>
      </c>
      <c r="C46" s="204"/>
      <c r="D46" s="222"/>
      <c r="E46" s="215">
        <f t="shared" si="35"/>
        <v>-65003.280000000006</v>
      </c>
      <c r="F46" s="222"/>
      <c r="G46" s="222"/>
      <c r="H46" s="204">
        <f t="shared" si="48"/>
        <v>893237.17999999947</v>
      </c>
      <c r="I46" s="222"/>
      <c r="J46" s="222"/>
      <c r="K46" s="204">
        <f>K45+I46-J46</f>
        <v>4606.92</v>
      </c>
      <c r="L46" s="204">
        <f t="shared" si="36"/>
        <v>897844.09999999951</v>
      </c>
      <c r="M46" s="224" t="s">
        <v>133</v>
      </c>
      <c r="N46" s="204"/>
      <c r="O46" s="222"/>
      <c r="P46" s="222"/>
      <c r="Q46" s="222"/>
      <c r="R46" s="222"/>
      <c r="S46" s="222"/>
      <c r="T46" s="204">
        <f t="shared" si="37"/>
        <v>65003.280000000006</v>
      </c>
      <c r="V46" s="212" t="s">
        <v>133</v>
      </c>
      <c r="W46" s="213">
        <f>AO45+D46+G46+J46</f>
        <v>-483151.00051999994</v>
      </c>
      <c r="X46" s="204"/>
      <c r="Y46" s="204"/>
      <c r="Z46" s="204"/>
      <c r="AA46" s="204"/>
      <c r="AB46" s="204"/>
      <c r="AC46" s="204"/>
      <c r="AD46" s="204"/>
      <c r="AE46" s="222"/>
      <c r="AF46" s="204"/>
      <c r="AG46" s="204"/>
      <c r="AH46" s="204">
        <f t="shared" si="38"/>
        <v>0</v>
      </c>
      <c r="AI46" s="204">
        <f t="shared" si="39"/>
        <v>0</v>
      </c>
      <c r="AJ46" s="204">
        <f t="shared" si="51"/>
        <v>0</v>
      </c>
      <c r="AK46" s="204">
        <f t="shared" si="52"/>
        <v>0</v>
      </c>
      <c r="AL46" s="204">
        <f t="shared" si="41"/>
        <v>-483151.00051999994</v>
      </c>
      <c r="AM46" s="222"/>
      <c r="AN46" s="204">
        <f t="shared" si="42"/>
        <v>-483151.00051999994</v>
      </c>
      <c r="AO46" s="204">
        <f t="shared" si="43"/>
        <v>-483151.00051999994</v>
      </c>
      <c r="AQ46" s="204" t="s">
        <v>133</v>
      </c>
      <c r="AR46" s="204">
        <f t="shared" si="53"/>
        <v>-483151.00051999994</v>
      </c>
      <c r="AS46" s="204">
        <f t="shared" si="44"/>
        <v>0</v>
      </c>
      <c r="AT46" s="204">
        <f t="shared" si="45"/>
        <v>0</v>
      </c>
      <c r="AU46" s="204"/>
      <c r="AV46" s="204"/>
      <c r="AW46" s="204"/>
      <c r="AX46" s="204">
        <f t="shared" si="46"/>
        <v>-483151.00051999994</v>
      </c>
    </row>
    <row r="47" spans="1:50" x14ac:dyDescent="0.25">
      <c r="M47" s="169"/>
      <c r="U47"/>
    </row>
  </sheetData>
  <mergeCells count="56">
    <mergeCell ref="AW3:AX4"/>
    <mergeCell ref="N4:O4"/>
    <mergeCell ref="R4:S4"/>
    <mergeCell ref="AT4:AT6"/>
    <mergeCell ref="AU4:AV4"/>
    <mergeCell ref="AO2:AO3"/>
    <mergeCell ref="N3:T3"/>
    <mergeCell ref="AQ3:AQ6"/>
    <mergeCell ref="AR3:AR6"/>
    <mergeCell ref="AS3:AS6"/>
    <mergeCell ref="AT3:AV3"/>
    <mergeCell ref="AN2:AN3"/>
    <mergeCell ref="P4:Q4"/>
    <mergeCell ref="L2:L3"/>
    <mergeCell ref="W2:W3"/>
    <mergeCell ref="X2:AK2"/>
    <mergeCell ref="AL2:AL3"/>
    <mergeCell ref="AM2:AM3"/>
    <mergeCell ref="G2:G3"/>
    <mergeCell ref="H2:H3"/>
    <mergeCell ref="K2:K3"/>
    <mergeCell ref="C2:C3"/>
    <mergeCell ref="D2:D3"/>
    <mergeCell ref="E2:E3"/>
    <mergeCell ref="I2:I3"/>
    <mergeCell ref="J2:J3"/>
    <mergeCell ref="F2:F3"/>
    <mergeCell ref="B28:B29"/>
    <mergeCell ref="C28:C29"/>
    <mergeCell ref="D28:D29"/>
    <mergeCell ref="E28:E29"/>
    <mergeCell ref="B2:B3"/>
    <mergeCell ref="J28:J29"/>
    <mergeCell ref="K28:K29"/>
    <mergeCell ref="L28:L29"/>
    <mergeCell ref="W28:W29"/>
    <mergeCell ref="F28:F29"/>
    <mergeCell ref="G28:G29"/>
    <mergeCell ref="H28:H29"/>
    <mergeCell ref="I28:I29"/>
    <mergeCell ref="AS29:AS32"/>
    <mergeCell ref="AT29:AV29"/>
    <mergeCell ref="AW29:AX30"/>
    <mergeCell ref="N30:O30"/>
    <mergeCell ref="P30:Q30"/>
    <mergeCell ref="R30:S30"/>
    <mergeCell ref="AT30:AT32"/>
    <mergeCell ref="AU30:AV30"/>
    <mergeCell ref="AO28:AO29"/>
    <mergeCell ref="N29:T29"/>
    <mergeCell ref="AQ29:AQ32"/>
    <mergeCell ref="AR29:AR32"/>
    <mergeCell ref="X28:AK28"/>
    <mergeCell ref="AL28:AL29"/>
    <mergeCell ref="AM28:AM29"/>
    <mergeCell ref="AN28:AN29"/>
  </mergeCells>
  <phoneticPr fontId="12" type="noConversion"/>
  <pageMargins left="0.7" right="0.7" top="0.75" bottom="0.75" header="0.3" footer="0.3"/>
  <pageSetup paperSize="9" scale="26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13" sqref="C13"/>
    </sheetView>
  </sheetViews>
  <sheetFormatPr defaultRowHeight="15" x14ac:dyDescent="0.25"/>
  <cols>
    <col min="1" max="1" width="4.85546875" customWidth="1"/>
    <col min="2" max="2" width="57.5703125" customWidth="1"/>
    <col min="3" max="3" width="15" customWidth="1"/>
    <col min="4" max="4" width="14.5703125" customWidth="1"/>
  </cols>
  <sheetData>
    <row r="1" spans="1:8" x14ac:dyDescent="0.25">
      <c r="A1" s="173"/>
      <c r="B1" s="174" t="s">
        <v>172</v>
      </c>
      <c r="C1" s="174" t="s">
        <v>173</v>
      </c>
      <c r="D1" s="173"/>
      <c r="E1" s="173"/>
    </row>
    <row r="2" spans="1:8" x14ac:dyDescent="0.25">
      <c r="A2" s="173"/>
      <c r="B2" s="175" t="s">
        <v>174</v>
      </c>
      <c r="C2" s="175" t="s">
        <v>175</v>
      </c>
      <c r="D2" s="173"/>
      <c r="E2" s="173"/>
    </row>
    <row r="3" spans="1:8" x14ac:dyDescent="0.25">
      <c r="A3" s="173"/>
      <c r="B3" s="175" t="s">
        <v>176</v>
      </c>
      <c r="C3" s="175" t="s">
        <v>177</v>
      </c>
      <c r="D3" s="173"/>
      <c r="E3" s="173"/>
    </row>
    <row r="4" spans="1:8" x14ac:dyDescent="0.25">
      <c r="A4" s="173"/>
      <c r="B4" s="175" t="s">
        <v>178</v>
      </c>
      <c r="C4" s="175"/>
      <c r="D4" s="173"/>
      <c r="E4" s="173"/>
    </row>
    <row r="5" spans="1:8" x14ac:dyDescent="0.25">
      <c r="A5" s="173"/>
      <c r="B5" s="173"/>
      <c r="C5" s="175"/>
      <c r="D5" s="173"/>
      <c r="E5" s="173"/>
    </row>
    <row r="6" spans="1:8" x14ac:dyDescent="0.25">
      <c r="A6" s="173"/>
      <c r="B6" s="173"/>
      <c r="C6" s="173"/>
      <c r="D6" s="173"/>
      <c r="E6" s="173"/>
    </row>
    <row r="7" spans="1:8" ht="18.75" x14ac:dyDescent="0.25">
      <c r="A7" s="315" t="s">
        <v>179</v>
      </c>
      <c r="B7" s="315"/>
      <c r="C7" s="315"/>
      <c r="D7" s="315"/>
      <c r="E7" s="173"/>
    </row>
    <row r="8" spans="1:8" ht="18.75" x14ac:dyDescent="0.25">
      <c r="A8" s="176"/>
      <c r="B8" s="176"/>
      <c r="C8" s="176"/>
      <c r="D8" s="176"/>
      <c r="E8" s="173"/>
    </row>
    <row r="9" spans="1:8" ht="15.75" x14ac:dyDescent="0.25">
      <c r="A9" s="173"/>
      <c r="B9" s="177" t="s">
        <v>180</v>
      </c>
      <c r="C9" s="178" t="s">
        <v>181</v>
      </c>
      <c r="D9" s="179">
        <v>3887.5</v>
      </c>
      <c r="E9" s="180"/>
      <c r="F9" s="181"/>
      <c r="G9" s="181"/>
    </row>
    <row r="10" spans="1:8" x14ac:dyDescent="0.25">
      <c r="A10" s="173"/>
      <c r="B10" s="173"/>
      <c r="C10" s="180"/>
      <c r="D10" s="180"/>
      <c r="E10" s="180"/>
      <c r="F10" s="181"/>
      <c r="G10" s="181"/>
    </row>
    <row r="11" spans="1:8" ht="78.75" x14ac:dyDescent="0.25">
      <c r="A11" s="182" t="s">
        <v>182</v>
      </c>
      <c r="B11" s="183" t="s">
        <v>53</v>
      </c>
      <c r="C11" s="182" t="s">
        <v>183</v>
      </c>
      <c r="D11" s="182" t="s">
        <v>184</v>
      </c>
      <c r="E11" s="180"/>
      <c r="F11" s="316" t="s">
        <v>185</v>
      </c>
      <c r="G11" s="316"/>
      <c r="H11">
        <f>6.67*6.6%</f>
        <v>0.44022</v>
      </c>
    </row>
    <row r="12" spans="1:8" ht="15.75" x14ac:dyDescent="0.25">
      <c r="A12" s="182"/>
      <c r="B12" s="184" t="s">
        <v>186</v>
      </c>
      <c r="C12" s="185">
        <f>D9*D12</f>
        <v>40857.625</v>
      </c>
      <c r="D12" s="186">
        <v>10.51</v>
      </c>
      <c r="E12" s="180"/>
      <c r="F12" s="181"/>
      <c r="G12" s="181"/>
    </row>
    <row r="13" spans="1:8" ht="15.75" x14ac:dyDescent="0.25">
      <c r="A13" s="187">
        <v>1</v>
      </c>
      <c r="B13" s="184" t="s">
        <v>155</v>
      </c>
      <c r="C13" s="188">
        <f>D13*D9</f>
        <v>13217.5</v>
      </c>
      <c r="D13" s="189">
        <v>3.4</v>
      </c>
      <c r="E13" s="180"/>
      <c r="F13" s="181"/>
      <c r="G13" s="181"/>
    </row>
    <row r="14" spans="1:8" ht="28.5" x14ac:dyDescent="0.25">
      <c r="A14" s="187">
        <f>A13:B13+1</f>
        <v>2</v>
      </c>
      <c r="B14" s="190" t="s">
        <v>187</v>
      </c>
      <c r="C14" s="191">
        <f>'[1]Новос 23-1'!M7</f>
        <v>4923.084932886657</v>
      </c>
      <c r="D14" s="192">
        <f>C14/C12*D12</f>
        <v>1.2663884071734166</v>
      </c>
      <c r="E14" s="180"/>
      <c r="F14" s="181"/>
      <c r="G14" s="181"/>
    </row>
    <row r="15" spans="1:8" ht="28.5" x14ac:dyDescent="0.25">
      <c r="A15" s="187">
        <f t="shared" ref="A15:A20" si="0">A14:B14+1</f>
        <v>3</v>
      </c>
      <c r="B15" s="190" t="s">
        <v>188</v>
      </c>
      <c r="C15" s="191">
        <f>'[1]Новос 23-1'!M14</f>
        <v>1901.5660398125128</v>
      </c>
      <c r="D15" s="192">
        <f>C15/C12*D12</f>
        <v>0.48914882053054992</v>
      </c>
      <c r="E15" s="180"/>
      <c r="F15" s="181"/>
      <c r="G15" s="181"/>
    </row>
    <row r="16" spans="1:8" ht="28.5" x14ac:dyDescent="0.25">
      <c r="A16" s="187">
        <f t="shared" si="0"/>
        <v>4</v>
      </c>
      <c r="B16" s="190" t="s">
        <v>189</v>
      </c>
      <c r="C16" s="191">
        <f>'[1]Новос 23-1'!M17</f>
        <v>0</v>
      </c>
      <c r="D16" s="192">
        <f>C16/C12*D12</f>
        <v>0</v>
      </c>
      <c r="E16" s="180"/>
      <c r="F16" s="181"/>
      <c r="G16" s="181"/>
    </row>
    <row r="17" spans="1:7" ht="57" x14ac:dyDescent="0.25">
      <c r="A17" s="187">
        <f t="shared" si="0"/>
        <v>5</v>
      </c>
      <c r="B17" s="190" t="s">
        <v>190</v>
      </c>
      <c r="C17" s="193">
        <v>8563.1200000000008</v>
      </c>
      <c r="D17" s="192">
        <f>C17/C12*D12</f>
        <v>2.2027318327974279</v>
      </c>
      <c r="E17" s="180"/>
      <c r="F17" s="181"/>
      <c r="G17" s="181"/>
    </row>
    <row r="18" spans="1:7" ht="15.75" x14ac:dyDescent="0.25">
      <c r="A18" s="187">
        <f t="shared" si="0"/>
        <v>6</v>
      </c>
      <c r="B18" s="190" t="s">
        <v>191</v>
      </c>
      <c r="C18" s="191">
        <f>C12*0.1</f>
        <v>4085.7625000000003</v>
      </c>
      <c r="D18" s="192">
        <f>C18/C12*D12</f>
        <v>1.0509999999999999</v>
      </c>
      <c r="E18" s="180"/>
      <c r="F18" s="181"/>
      <c r="G18" s="181"/>
    </row>
    <row r="19" spans="1:7" ht="15.75" x14ac:dyDescent="0.25">
      <c r="A19" s="187">
        <f t="shared" si="0"/>
        <v>7</v>
      </c>
      <c r="B19" s="190" t="s">
        <v>192</v>
      </c>
      <c r="C19" s="191">
        <f>C12*0.08</f>
        <v>3268.61</v>
      </c>
      <c r="D19" s="192">
        <f>C19/C12*D12</f>
        <v>0.84079999999999999</v>
      </c>
      <c r="E19" s="180"/>
      <c r="F19" s="181"/>
      <c r="G19" s="181"/>
    </row>
    <row r="20" spans="1:7" ht="15.75" x14ac:dyDescent="0.25">
      <c r="A20" s="187">
        <f t="shared" si="0"/>
        <v>8</v>
      </c>
      <c r="B20" s="194" t="s">
        <v>193</v>
      </c>
      <c r="C20" s="195"/>
      <c r="D20" s="196"/>
      <c r="E20" s="180"/>
      <c r="F20" s="181"/>
      <c r="G20" s="181"/>
    </row>
    <row r="21" spans="1:7" ht="15.75" x14ac:dyDescent="0.25">
      <c r="A21" s="197" t="s">
        <v>194</v>
      </c>
      <c r="B21" s="198" t="s">
        <v>195</v>
      </c>
      <c r="C21" s="199">
        <f>0.55*D9</f>
        <v>2138.125</v>
      </c>
      <c r="D21" s="200">
        <f>C21/C12*D12</f>
        <v>0.55000000000000004</v>
      </c>
      <c r="E21" s="180"/>
      <c r="F21" s="181"/>
      <c r="G21" s="181"/>
    </row>
    <row r="22" spans="1:7" ht="15.75" x14ac:dyDescent="0.25">
      <c r="A22" s="197" t="s">
        <v>194</v>
      </c>
      <c r="B22" s="198" t="s">
        <v>196</v>
      </c>
      <c r="C22" s="201">
        <f>88000*1.4%</f>
        <v>1231.9999999999998</v>
      </c>
      <c r="D22" s="200">
        <f>C22/C12*D12</f>
        <v>0.31691318327974272</v>
      </c>
      <c r="E22" s="180"/>
      <c r="F22" s="181"/>
      <c r="G22" s="181"/>
    </row>
    <row r="23" spans="1:7" ht="15.75" x14ac:dyDescent="0.25">
      <c r="A23" s="197" t="s">
        <v>194</v>
      </c>
      <c r="B23" s="198" t="s">
        <v>197</v>
      </c>
      <c r="C23" s="201">
        <f>88000*1.4%</f>
        <v>1231.9999999999998</v>
      </c>
      <c r="D23" s="200">
        <f>C23/C12*D12</f>
        <v>0.31691318327974272</v>
      </c>
      <c r="E23" s="180"/>
      <c r="F23" s="181"/>
      <c r="G23" s="181"/>
    </row>
    <row r="24" spans="1:7" ht="15.75" x14ac:dyDescent="0.25">
      <c r="A24" s="197" t="s">
        <v>194</v>
      </c>
      <c r="B24" s="198" t="s">
        <v>198</v>
      </c>
      <c r="C24" s="199">
        <f>3961.9/12</f>
        <v>330.15833333333336</v>
      </c>
      <c r="D24" s="200">
        <f>C24/C12*D12</f>
        <v>8.492818863879957E-2</v>
      </c>
      <c r="E24" s="180"/>
      <c r="F24" s="181"/>
      <c r="G24" s="181"/>
    </row>
    <row r="25" spans="1:7" ht="15.75" x14ac:dyDescent="0.25">
      <c r="A25" s="202">
        <v>9</v>
      </c>
      <c r="B25" s="190" t="s">
        <v>199</v>
      </c>
      <c r="C25" s="191">
        <f>C12-C13-C14-C15-C16-C17-C18-C19-C21-C22-C23-C24</f>
        <v>-34.301806032506704</v>
      </c>
      <c r="D25" s="192">
        <f>C25/C12*D12</f>
        <v>-8.8236156996801818E-3</v>
      </c>
      <c r="E25" s="180"/>
      <c r="F25" s="181"/>
      <c r="G25" s="181"/>
    </row>
    <row r="26" spans="1:7" x14ac:dyDescent="0.25">
      <c r="A26" s="173"/>
      <c r="B26" s="173"/>
      <c r="C26" s="180"/>
      <c r="D26" s="180"/>
      <c r="E26" s="180"/>
      <c r="F26" s="181"/>
      <c r="G26" s="181"/>
    </row>
    <row r="27" spans="1:7" x14ac:dyDescent="0.25">
      <c r="A27" s="173"/>
      <c r="B27" s="174" t="s">
        <v>200</v>
      </c>
      <c r="C27" s="203"/>
      <c r="D27" s="180"/>
      <c r="E27" s="180"/>
      <c r="F27" s="181"/>
      <c r="G27" s="181"/>
    </row>
    <row r="28" spans="1:7" x14ac:dyDescent="0.25">
      <c r="A28" s="173"/>
      <c r="B28" s="314" t="s">
        <v>201</v>
      </c>
      <c r="C28" s="314"/>
      <c r="D28" s="314"/>
      <c r="E28" s="180"/>
      <c r="F28" s="181"/>
      <c r="G28" s="181"/>
    </row>
    <row r="29" spans="1:7" x14ac:dyDescent="0.25">
      <c r="A29" s="173"/>
      <c r="B29" s="314" t="s">
        <v>202</v>
      </c>
      <c r="C29" s="314"/>
      <c r="D29" s="314"/>
      <c r="E29" s="180"/>
      <c r="F29" s="181"/>
      <c r="G29" s="181"/>
    </row>
    <row r="30" spans="1:7" x14ac:dyDescent="0.25">
      <c r="A30" s="173"/>
      <c r="B30" s="314" t="s">
        <v>203</v>
      </c>
      <c r="C30" s="314"/>
      <c r="D30" s="314"/>
      <c r="E30" s="180"/>
      <c r="F30" s="181"/>
      <c r="G30" s="181"/>
    </row>
    <row r="31" spans="1:7" x14ac:dyDescent="0.25">
      <c r="A31" s="173"/>
      <c r="B31" s="314" t="s">
        <v>204</v>
      </c>
      <c r="C31" s="314"/>
      <c r="D31" s="314"/>
      <c r="E31" s="180"/>
      <c r="F31" s="181"/>
      <c r="G31" s="181"/>
    </row>
    <row r="32" spans="1:7" x14ac:dyDescent="0.25">
      <c r="A32" s="173"/>
      <c r="B32" s="314" t="s">
        <v>205</v>
      </c>
      <c r="C32" s="314"/>
      <c r="D32" s="314"/>
      <c r="E32" s="180"/>
      <c r="F32" s="181"/>
      <c r="G32" s="181"/>
    </row>
    <row r="33" spans="1:7" x14ac:dyDescent="0.25">
      <c r="A33" s="173"/>
      <c r="B33" s="173"/>
      <c r="C33" s="203"/>
      <c r="D33" s="180"/>
      <c r="E33" s="180"/>
      <c r="F33" s="181"/>
      <c r="G33" s="181"/>
    </row>
    <row r="34" spans="1:7" x14ac:dyDescent="0.25">
      <c r="A34" s="173"/>
      <c r="B34" s="173"/>
      <c r="C34" s="180"/>
      <c r="D34" s="180"/>
      <c r="E34" s="180"/>
      <c r="F34" s="181"/>
      <c r="G34" s="181"/>
    </row>
    <row r="35" spans="1:7" x14ac:dyDescent="0.25">
      <c r="A35" s="173"/>
      <c r="B35" s="175" t="s">
        <v>206</v>
      </c>
      <c r="C35" s="180"/>
      <c r="D35" s="180"/>
      <c r="E35" s="180"/>
      <c r="F35" s="181"/>
      <c r="G35" s="181"/>
    </row>
    <row r="36" spans="1:7" x14ac:dyDescent="0.25">
      <c r="B36" t="s">
        <v>207</v>
      </c>
      <c r="C36" s="181"/>
      <c r="D36" s="181"/>
      <c r="E36" s="181"/>
      <c r="F36" s="181"/>
      <c r="G36" s="181"/>
    </row>
    <row r="37" spans="1:7" x14ac:dyDescent="0.25">
      <c r="C37" s="181"/>
      <c r="D37" s="181"/>
      <c r="E37" s="181"/>
      <c r="F37" s="181"/>
      <c r="G37" s="181"/>
    </row>
  </sheetData>
  <mergeCells count="7">
    <mergeCell ref="B32:D32"/>
    <mergeCell ref="A7:D7"/>
    <mergeCell ref="F11:G11"/>
    <mergeCell ref="B28:D28"/>
    <mergeCell ref="B29:D29"/>
    <mergeCell ref="B30:D30"/>
    <mergeCell ref="B31:D31"/>
  </mergeCells>
  <phoneticPr fontId="1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V23"/>
  <sheetViews>
    <sheetView tabSelected="1" workbookViewId="0">
      <selection activeCell="AH8" sqref="AH8"/>
    </sheetView>
  </sheetViews>
  <sheetFormatPr defaultRowHeight="15" x14ac:dyDescent="0.25"/>
  <cols>
    <col min="1" max="1" width="4.85546875" customWidth="1"/>
    <col min="2" max="2" width="14.7109375" customWidth="1"/>
    <col min="3" max="3" width="11.140625" customWidth="1"/>
    <col min="4" max="4" width="10.85546875" customWidth="1"/>
    <col min="5" max="5" width="12" customWidth="1"/>
    <col min="6" max="6" width="9.85546875" bestFit="1" customWidth="1"/>
    <col min="8" max="8" width="11.140625" customWidth="1"/>
    <col min="9" max="9" width="8.5703125" customWidth="1"/>
    <col min="10" max="10" width="6.85546875" customWidth="1"/>
    <col min="11" max="11" width="9.28515625" customWidth="1"/>
    <col min="12" max="12" width="11.42578125" customWidth="1"/>
    <col min="13" max="13" width="6.85546875" customWidth="1"/>
    <col min="14" max="14" width="12.140625" customWidth="1"/>
    <col min="15" max="15" width="10.85546875" customWidth="1"/>
    <col min="16" max="16" width="9.5703125" customWidth="1"/>
    <col min="17" max="17" width="10.85546875" customWidth="1"/>
    <col min="18" max="18" width="10.7109375" customWidth="1"/>
    <col min="19" max="19" width="11.28515625" customWidth="1"/>
    <col min="20" max="20" width="11.5703125" customWidth="1"/>
    <col min="21" max="21" width="5" customWidth="1"/>
    <col min="22" max="22" width="11.85546875" customWidth="1"/>
    <col min="23" max="23" width="9.28515625" bestFit="1" customWidth="1"/>
    <col min="24" max="24" width="9.85546875" bestFit="1" customWidth="1"/>
    <col min="25" max="25" width="9.28515625" bestFit="1" customWidth="1"/>
    <col min="26" max="26" width="5.7109375" customWidth="1"/>
    <col min="27" max="27" width="9.28515625" bestFit="1" customWidth="1"/>
    <col min="28" max="28" width="10" customWidth="1"/>
    <col min="29" max="29" width="9.28515625" bestFit="1" customWidth="1"/>
    <col min="30" max="30" width="9.140625" customWidth="1"/>
    <col min="31" max="31" width="10.5703125" customWidth="1"/>
    <col min="32" max="32" width="9" customWidth="1"/>
    <col min="33" max="35" width="9.28515625" bestFit="1" customWidth="1"/>
    <col min="36" max="36" width="9.85546875" bestFit="1" customWidth="1"/>
    <col min="37" max="37" width="12.140625" customWidth="1"/>
    <col min="38" max="38" width="9.7109375" customWidth="1"/>
    <col min="39" max="39" width="12.7109375" customWidth="1"/>
    <col min="40" max="40" width="12.5703125" customWidth="1"/>
    <col min="41" max="41" width="4.85546875" customWidth="1"/>
    <col min="43" max="43" width="14.5703125" customWidth="1"/>
    <col min="44" max="44" width="10.85546875" customWidth="1"/>
    <col min="45" max="45" width="14.7109375" customWidth="1"/>
    <col min="46" max="46" width="25.42578125" customWidth="1"/>
    <col min="47" max="47" width="11.5703125" customWidth="1"/>
    <col min="48" max="48" width="11.42578125" customWidth="1"/>
  </cols>
  <sheetData>
    <row r="1" spans="1:48" ht="15.75" x14ac:dyDescent="0.25">
      <c r="C1" s="105" t="s">
        <v>111</v>
      </c>
      <c r="D1" s="105"/>
      <c r="E1" s="105"/>
      <c r="W1" s="105"/>
      <c r="X1" s="105"/>
      <c r="Y1" s="105"/>
      <c r="Z1" s="105" t="s">
        <v>152</v>
      </c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S1" s="74"/>
    </row>
    <row r="2" spans="1:48" ht="15" customHeight="1" x14ac:dyDescent="0.25">
      <c r="B2" s="232" t="s">
        <v>161</v>
      </c>
      <c r="C2" s="232" t="s">
        <v>15</v>
      </c>
      <c r="D2" s="232" t="s">
        <v>1</v>
      </c>
      <c r="E2" s="232" t="s">
        <v>162</v>
      </c>
      <c r="F2" s="232" t="s">
        <v>24</v>
      </c>
      <c r="G2" s="232" t="s">
        <v>25</v>
      </c>
      <c r="H2" s="232" t="s">
        <v>26</v>
      </c>
      <c r="I2" s="232" t="s">
        <v>135</v>
      </c>
      <c r="J2" s="232" t="s">
        <v>136</v>
      </c>
      <c r="K2" s="232" t="s">
        <v>137</v>
      </c>
      <c r="L2" s="311" t="s">
        <v>27</v>
      </c>
      <c r="M2" s="76"/>
      <c r="N2" s="76"/>
      <c r="O2" s="76"/>
      <c r="P2" s="76"/>
      <c r="Q2" s="76"/>
      <c r="R2" s="76"/>
      <c r="S2" s="76"/>
      <c r="V2" s="312" t="s">
        <v>14</v>
      </c>
      <c r="W2" s="268" t="s">
        <v>8</v>
      </c>
      <c r="X2" s="269"/>
      <c r="Y2" s="269"/>
      <c r="Z2" s="269"/>
      <c r="AA2" s="269"/>
      <c r="AB2" s="269"/>
      <c r="AC2" s="269"/>
      <c r="AD2" s="269"/>
      <c r="AE2" s="269"/>
      <c r="AF2" s="269"/>
      <c r="AG2" s="269"/>
      <c r="AH2" s="269"/>
      <c r="AI2" s="269"/>
      <c r="AJ2" s="270"/>
      <c r="AK2" s="266" t="s">
        <v>10</v>
      </c>
      <c r="AL2" s="266" t="s">
        <v>11</v>
      </c>
      <c r="AM2" s="266" t="s">
        <v>12</v>
      </c>
      <c r="AN2" s="266" t="s">
        <v>13</v>
      </c>
      <c r="AT2" s="74" t="s">
        <v>128</v>
      </c>
    </row>
    <row r="3" spans="1:48" ht="48.75" customHeight="1" x14ac:dyDescent="0.25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311"/>
      <c r="M3" s="76"/>
      <c r="N3" s="236" t="s">
        <v>146</v>
      </c>
      <c r="O3" s="236"/>
      <c r="P3" s="236"/>
      <c r="Q3" s="236"/>
      <c r="R3" s="236"/>
      <c r="S3" s="236"/>
      <c r="T3" s="236"/>
      <c r="V3" s="313"/>
      <c r="W3" s="319" t="s">
        <v>212</v>
      </c>
      <c r="X3" s="4" t="s">
        <v>155</v>
      </c>
      <c r="Y3" s="165" t="s">
        <v>16</v>
      </c>
      <c r="Z3" s="5" t="s">
        <v>164</v>
      </c>
      <c r="AA3" s="5" t="s">
        <v>18</v>
      </c>
      <c r="AB3" s="6" t="s">
        <v>210</v>
      </c>
      <c r="AC3" s="6" t="s">
        <v>211</v>
      </c>
      <c r="AD3" s="6" t="str">
        <f>кальк!B33</f>
        <v xml:space="preserve">ИП Рукина </v>
      </c>
      <c r="AE3" s="6" t="str">
        <f>кальк!B35</f>
        <v>ГАСС</v>
      </c>
      <c r="AF3" s="6" t="str">
        <f>кальк!B37</f>
        <v>Производственная база ЖКХ</v>
      </c>
      <c r="AG3" s="6" t="str">
        <f>кальк!B40</f>
        <v>МИВЦ</v>
      </c>
      <c r="AH3" s="6" t="str">
        <f>кальк!B42</f>
        <v>Банк, почта</v>
      </c>
      <c r="AI3" s="6" t="str">
        <f>кальк!B46</f>
        <v>Затраты на материалы</v>
      </c>
      <c r="AJ3" s="7" t="s">
        <v>5</v>
      </c>
      <c r="AK3" s="267"/>
      <c r="AL3" s="267"/>
      <c r="AM3" s="267"/>
      <c r="AN3" s="267"/>
      <c r="AP3" s="244" t="s">
        <v>166</v>
      </c>
      <c r="AQ3" s="244" t="s">
        <v>117</v>
      </c>
      <c r="AR3" s="244" t="s">
        <v>118</v>
      </c>
      <c r="AS3" s="254" t="s">
        <v>119</v>
      </c>
      <c r="AT3" s="256"/>
      <c r="AU3" s="255"/>
      <c r="AV3" s="248"/>
    </row>
    <row r="4" spans="1:48" ht="16.5" customHeight="1" x14ac:dyDescent="0.25">
      <c r="B4" s="226">
        <v>1</v>
      </c>
      <c r="C4" s="14">
        <v>2</v>
      </c>
      <c r="D4" s="14">
        <f t="shared" ref="D4:L4" si="0">C4+1</f>
        <v>3</v>
      </c>
      <c r="E4" s="14">
        <f t="shared" si="0"/>
        <v>4</v>
      </c>
      <c r="F4" s="14">
        <v>5</v>
      </c>
      <c r="G4" s="14">
        <f t="shared" si="0"/>
        <v>6</v>
      </c>
      <c r="H4" s="14">
        <f t="shared" si="0"/>
        <v>7</v>
      </c>
      <c r="I4" s="14">
        <f t="shared" si="0"/>
        <v>8</v>
      </c>
      <c r="J4" s="14">
        <f t="shared" si="0"/>
        <v>9</v>
      </c>
      <c r="K4" s="14">
        <f t="shared" si="0"/>
        <v>10</v>
      </c>
      <c r="L4" s="14">
        <f t="shared" si="0"/>
        <v>11</v>
      </c>
      <c r="N4" s="234" t="s">
        <v>21</v>
      </c>
      <c r="O4" s="235"/>
      <c r="P4" s="234" t="s">
        <v>169</v>
      </c>
      <c r="Q4" s="235"/>
      <c r="R4" s="234" t="s">
        <v>22</v>
      </c>
      <c r="S4" s="235"/>
      <c r="T4" s="75" t="s">
        <v>23</v>
      </c>
      <c r="V4" s="226">
        <v>1</v>
      </c>
      <c r="W4" s="1">
        <f>V4+1</f>
        <v>2</v>
      </c>
      <c r="X4" s="1">
        <f t="shared" ref="X4:AN4" si="1">W4+1</f>
        <v>3</v>
      </c>
      <c r="Y4" s="1">
        <f t="shared" si="1"/>
        <v>4</v>
      </c>
      <c r="Z4" s="1">
        <f t="shared" si="1"/>
        <v>5</v>
      </c>
      <c r="AA4" s="1">
        <f t="shared" si="1"/>
        <v>6</v>
      </c>
      <c r="AB4" s="1">
        <f t="shared" si="1"/>
        <v>7</v>
      </c>
      <c r="AC4" s="1">
        <f t="shared" si="1"/>
        <v>8</v>
      </c>
      <c r="AD4" s="1">
        <f t="shared" si="1"/>
        <v>9</v>
      </c>
      <c r="AE4" s="1">
        <f t="shared" si="1"/>
        <v>10</v>
      </c>
      <c r="AF4" s="1">
        <f t="shared" si="1"/>
        <v>11</v>
      </c>
      <c r="AG4" s="1">
        <f t="shared" si="1"/>
        <v>12</v>
      </c>
      <c r="AH4" s="1">
        <f t="shared" si="1"/>
        <v>13</v>
      </c>
      <c r="AI4" s="1">
        <f t="shared" si="1"/>
        <v>14</v>
      </c>
      <c r="AJ4" s="1">
        <f t="shared" si="1"/>
        <v>15</v>
      </c>
      <c r="AK4" s="1">
        <f t="shared" si="1"/>
        <v>16</v>
      </c>
      <c r="AL4" s="1">
        <f t="shared" si="1"/>
        <v>17</v>
      </c>
      <c r="AM4" s="1">
        <f t="shared" si="1"/>
        <v>18</v>
      </c>
      <c r="AN4" s="1">
        <f t="shared" si="1"/>
        <v>19</v>
      </c>
      <c r="AP4" s="245"/>
      <c r="AQ4" s="245"/>
      <c r="AR4" s="245"/>
      <c r="AS4" s="251" t="s">
        <v>121</v>
      </c>
      <c r="AT4" s="254" t="s">
        <v>122</v>
      </c>
      <c r="AU4" s="255"/>
      <c r="AV4" s="250"/>
    </row>
    <row r="5" spans="1:48" s="132" customFormat="1" ht="16.5" customHeight="1" x14ac:dyDescent="0.25">
      <c r="B5" s="133"/>
      <c r="C5" s="133"/>
      <c r="D5" s="133"/>
      <c r="E5" s="133"/>
      <c r="F5" s="134"/>
      <c r="G5" s="134"/>
      <c r="H5" s="134"/>
      <c r="I5" s="134"/>
      <c r="J5" s="134"/>
      <c r="K5" s="134"/>
      <c r="L5" s="134"/>
      <c r="N5" s="135" t="s">
        <v>159</v>
      </c>
      <c r="O5" s="136" t="s">
        <v>160</v>
      </c>
      <c r="P5" s="135" t="s">
        <v>159</v>
      </c>
      <c r="Q5" s="136" t="s">
        <v>160</v>
      </c>
      <c r="R5" s="135" t="s">
        <v>159</v>
      </c>
      <c r="S5" s="136" t="s">
        <v>160</v>
      </c>
      <c r="T5" s="137"/>
      <c r="V5" s="133"/>
      <c r="W5" s="121"/>
      <c r="X5" s="121"/>
      <c r="Y5" s="121"/>
      <c r="Z5" s="121"/>
      <c r="AA5" s="121"/>
      <c r="AB5" s="121"/>
      <c r="AC5" s="121"/>
      <c r="AD5" s="121"/>
      <c r="AE5" s="139"/>
      <c r="AF5" s="121"/>
      <c r="AG5" s="121"/>
      <c r="AH5" s="121"/>
      <c r="AI5" s="121"/>
      <c r="AJ5" s="121"/>
      <c r="AK5" s="121"/>
      <c r="AL5" s="121"/>
      <c r="AM5" s="121"/>
      <c r="AN5" s="121"/>
      <c r="AP5" s="245"/>
      <c r="AQ5" s="245"/>
      <c r="AR5" s="245"/>
      <c r="AS5" s="252"/>
      <c r="AT5" s="140"/>
      <c r="AU5" s="141"/>
      <c r="AV5" s="143"/>
    </row>
    <row r="6" spans="1:48" s="132" customFormat="1" ht="18" customHeight="1" x14ac:dyDescent="0.25">
      <c r="A6" s="228"/>
      <c r="B6" s="148"/>
      <c r="C6" s="133"/>
      <c r="D6" s="133"/>
      <c r="E6" s="148">
        <v>29747</v>
      </c>
      <c r="F6" s="144" t="s">
        <v>163</v>
      </c>
      <c r="G6" s="121"/>
      <c r="H6" s="121">
        <v>724188.09</v>
      </c>
      <c r="I6" s="121"/>
      <c r="J6" s="121"/>
      <c r="K6" s="121">
        <v>786.16</v>
      </c>
      <c r="L6" s="122"/>
      <c r="M6" s="228"/>
      <c r="N6" s="134"/>
      <c r="O6" s="134"/>
      <c r="P6" s="133"/>
      <c r="Q6" s="133"/>
      <c r="R6" s="144" t="s">
        <v>163</v>
      </c>
      <c r="S6" s="134"/>
      <c r="T6" s="122"/>
      <c r="U6" s="228"/>
      <c r="V6" s="148"/>
      <c r="W6" s="121"/>
      <c r="X6" s="121"/>
      <c r="Y6" s="121"/>
      <c r="Z6" s="121"/>
      <c r="AA6" s="121"/>
      <c r="AB6" s="121"/>
      <c r="AC6" s="121"/>
      <c r="AD6" s="121"/>
      <c r="AE6" s="144" t="s">
        <v>163</v>
      </c>
      <c r="AF6" s="121"/>
      <c r="AG6" s="121"/>
      <c r="AH6" s="121"/>
      <c r="AI6" s="121"/>
      <c r="AJ6" s="121"/>
      <c r="AK6" s="122"/>
      <c r="AL6" s="121"/>
      <c r="AM6" s="122"/>
      <c r="AN6" s="122">
        <v>-5910.17</v>
      </c>
      <c r="AP6" s="144" t="s">
        <v>163</v>
      </c>
      <c r="AQ6" s="122"/>
      <c r="AR6" s="121"/>
      <c r="AS6" s="122"/>
      <c r="AT6" s="121"/>
      <c r="AU6" s="121"/>
      <c r="AV6" s="122"/>
    </row>
    <row r="7" spans="1:48" s="160" customFormat="1" ht="12" customHeight="1" x14ac:dyDescent="0.25">
      <c r="A7" s="227" t="s">
        <v>33</v>
      </c>
      <c r="B7" s="154">
        <f>E6</f>
        <v>29747</v>
      </c>
      <c r="C7" s="155">
        <f>9330.96+3653.1+23989.87</f>
        <v>36973.93</v>
      </c>
      <c r="D7" s="155">
        <f>8702.58+3139.06+22639.41</f>
        <v>34481.050000000003</v>
      </c>
      <c r="E7" s="154">
        <f t="shared" ref="E7:E18" si="2">B7+C7-D7</f>
        <v>32239.87999999999</v>
      </c>
      <c r="F7" s="156">
        <f>1201.27+906.73+376.19+543.92+2371.9</f>
        <v>5400.01</v>
      </c>
      <c r="G7" s="156">
        <v>0</v>
      </c>
      <c r="H7" s="156">
        <f>H6+F7-G7</f>
        <v>729588.1</v>
      </c>
      <c r="I7" s="156">
        <v>500</v>
      </c>
      <c r="J7" s="156">
        <v>879.24</v>
      </c>
      <c r="K7" s="156">
        <f>K6+I7-J7</f>
        <v>406.91999999999985</v>
      </c>
      <c r="L7" s="157">
        <f t="shared" ref="L7:L18" si="3">H7+K7</f>
        <v>729995.02</v>
      </c>
      <c r="M7" s="227" t="s">
        <v>33</v>
      </c>
      <c r="N7" s="158">
        <f>228296.22-2567.42</f>
        <v>225728.8</v>
      </c>
      <c r="O7" s="158">
        <v>238102.26</v>
      </c>
      <c r="P7" s="158"/>
      <c r="Q7" s="158"/>
      <c r="R7" s="158">
        <f>91376.98</f>
        <v>91376.98</v>
      </c>
      <c r="S7" s="158">
        <f>121438.96</f>
        <v>121438.96</v>
      </c>
      <c r="T7" s="157">
        <f t="shared" ref="T7:T18" si="4">N7+O7-R7-S7-E7</f>
        <v>218775.24</v>
      </c>
      <c r="U7" s="227" t="s">
        <v>33</v>
      </c>
      <c r="V7" s="154">
        <f>AN6+D7+G7+J7</f>
        <v>29450.120000000006</v>
      </c>
      <c r="W7" s="156">
        <v>2957.61</v>
      </c>
      <c r="X7" s="156">
        <v>9330</v>
      </c>
      <c r="Y7" s="156">
        <v>1901.57</v>
      </c>
      <c r="Z7" s="156">
        <v>0</v>
      </c>
      <c r="AA7" s="156">
        <v>4923.08</v>
      </c>
      <c r="AB7" s="156">
        <v>8563.1200000000008</v>
      </c>
      <c r="AC7" s="156">
        <v>330.16</v>
      </c>
      <c r="AD7" s="156">
        <v>6316.1</v>
      </c>
      <c r="AE7" s="156">
        <v>2138.13</v>
      </c>
      <c r="AF7" s="156">
        <v>702.34</v>
      </c>
      <c r="AG7" s="156">
        <f>(R7+S7)*1%</f>
        <v>2128.1594</v>
      </c>
      <c r="AH7" s="156">
        <f>(R7+S7)*1.4%</f>
        <v>2979.4231599999998</v>
      </c>
      <c r="AI7" s="156">
        <f>(D7+G7+J7)*10%</f>
        <v>3536.0290000000005</v>
      </c>
      <c r="AJ7" s="156">
        <f t="shared" ref="AJ7:AJ12" si="5">SUM(W7:AI7)</f>
        <v>45805.721559999998</v>
      </c>
      <c r="AK7" s="157">
        <f t="shared" ref="AK7:AK18" si="6">V7-AJ7</f>
        <v>-16355.601559999992</v>
      </c>
      <c r="AL7" s="156"/>
      <c r="AM7" s="157">
        <f t="shared" ref="AM7:AM18" si="7">AK7-AL7</f>
        <v>-16355.601559999992</v>
      </c>
      <c r="AN7" s="157">
        <f t="shared" ref="AN7:AN18" si="8">AM7</f>
        <v>-16355.601559999992</v>
      </c>
      <c r="AP7" s="156" t="s">
        <v>127</v>
      </c>
      <c r="AQ7" s="157">
        <f>AN6</f>
        <v>-5910.17</v>
      </c>
      <c r="AR7" s="156">
        <f>D7+G7+J7</f>
        <v>35360.29</v>
      </c>
      <c r="AS7" s="157">
        <f t="shared" ref="AS7:AS18" si="9">AJ7</f>
        <v>45805.721559999998</v>
      </c>
      <c r="AT7" s="156"/>
      <c r="AU7" s="156"/>
      <c r="AV7" s="205">
        <f>AQ7+AR7-AS7-AU7</f>
        <v>-16355.601559999996</v>
      </c>
    </row>
    <row r="8" spans="1:48" s="132" customFormat="1" ht="22.5" customHeight="1" x14ac:dyDescent="0.25">
      <c r="A8" s="228" t="s">
        <v>34</v>
      </c>
      <c r="B8" s="148">
        <f t="shared" ref="B8:B18" si="10">E7</f>
        <v>32239.87999999999</v>
      </c>
      <c r="C8" s="133">
        <f>9330.96+3653.1+23989.87</f>
        <v>36973.93</v>
      </c>
      <c r="D8" s="133">
        <f>8845.67+2500.58+23702.27</f>
        <v>35048.520000000004</v>
      </c>
      <c r="E8" s="148">
        <f t="shared" si="2"/>
        <v>34165.289999999994</v>
      </c>
      <c r="F8" s="121">
        <f>1201.27+906.73+376.19+543.92+2371.79</f>
        <v>5399.9</v>
      </c>
      <c r="G8" s="121">
        <v>752.38</v>
      </c>
      <c r="H8" s="121">
        <f t="shared" ref="H8:H18" si="11">H7+F8-G8</f>
        <v>734235.62</v>
      </c>
      <c r="I8" s="121">
        <v>500</v>
      </c>
      <c r="J8" s="121">
        <v>0</v>
      </c>
      <c r="K8" s="121">
        <f t="shared" ref="K8:K13" si="12">K7+I8-J8</f>
        <v>906.91999999999985</v>
      </c>
      <c r="L8" s="122">
        <f t="shared" si="3"/>
        <v>735142.54</v>
      </c>
      <c r="M8" s="228" t="s">
        <v>34</v>
      </c>
      <c r="N8" s="134">
        <f>244576.48-3687.98</f>
        <v>240888.5</v>
      </c>
      <c r="O8" s="134">
        <f>248321.98-0.01</f>
        <v>248321.97</v>
      </c>
      <c r="P8" s="134"/>
      <c r="Q8" s="134"/>
      <c r="R8" s="134">
        <f>93379.47</f>
        <v>93379.47</v>
      </c>
      <c r="S8" s="134">
        <v>129764.84</v>
      </c>
      <c r="T8" s="122">
        <f>N8+O8-R8-S8-E8</f>
        <v>231900.87000000005</v>
      </c>
      <c r="U8" s="228" t="s">
        <v>34</v>
      </c>
      <c r="V8" s="148">
        <f>AN7+D8+G8+J8</f>
        <v>19445.298440000013</v>
      </c>
      <c r="W8" s="121">
        <v>2957.61</v>
      </c>
      <c r="X8" s="121">
        <v>9330</v>
      </c>
      <c r="Y8" s="121">
        <v>1901.57</v>
      </c>
      <c r="Z8" s="121">
        <v>0</v>
      </c>
      <c r="AA8" s="121">
        <v>4923.08</v>
      </c>
      <c r="AB8" s="121">
        <v>8563.1200000000008</v>
      </c>
      <c r="AC8" s="121">
        <v>330.16</v>
      </c>
      <c r="AD8" s="121"/>
      <c r="AE8" s="121">
        <v>2138.13</v>
      </c>
      <c r="AF8" s="121"/>
      <c r="AG8" s="121">
        <f>(R8+S8)*1%</f>
        <v>2231.4431</v>
      </c>
      <c r="AH8" s="121">
        <f>(R8+S8)*1.4%</f>
        <v>3124.0203399999996</v>
      </c>
      <c r="AI8" s="121">
        <f>(D8+G8+J8)*10%</f>
        <v>3580.09</v>
      </c>
      <c r="AJ8" s="121">
        <f t="shared" si="5"/>
        <v>39079.223440000002</v>
      </c>
      <c r="AK8" s="122">
        <f t="shared" si="6"/>
        <v>-19633.924999999988</v>
      </c>
      <c r="AL8" s="121"/>
      <c r="AM8" s="122">
        <f t="shared" si="7"/>
        <v>-19633.924999999988</v>
      </c>
      <c r="AN8" s="122">
        <f t="shared" si="8"/>
        <v>-19633.924999999988</v>
      </c>
      <c r="AP8" s="121" t="s">
        <v>129</v>
      </c>
      <c r="AQ8" s="122">
        <f>AN7</f>
        <v>-16355.601559999992</v>
      </c>
      <c r="AR8" s="121">
        <f>D8+G8+J8</f>
        <v>35800.9</v>
      </c>
      <c r="AS8" s="122">
        <f t="shared" si="9"/>
        <v>39079.223440000002</v>
      </c>
      <c r="AT8" s="121"/>
      <c r="AU8" s="121"/>
      <c r="AV8" s="204">
        <f>AQ8+AR8-AS8-AU8</f>
        <v>-19633.924999999992</v>
      </c>
    </row>
    <row r="9" spans="1:48" s="132" customFormat="1" ht="15" customHeight="1" x14ac:dyDescent="0.25">
      <c r="A9" s="228" t="s">
        <v>35</v>
      </c>
      <c r="B9" s="161">
        <f t="shared" si="10"/>
        <v>34165.289999999994</v>
      </c>
      <c r="C9" s="162">
        <f>9330.96+3653.1+23989.87</f>
        <v>36973.93</v>
      </c>
      <c r="D9" s="162">
        <f>9061.84+3139.06+23705.85</f>
        <v>35906.75</v>
      </c>
      <c r="E9" s="161">
        <f t="shared" si="2"/>
        <v>35232.47</v>
      </c>
      <c r="F9" s="151">
        <f>2371.79+1201.27</f>
        <v>3573.06</v>
      </c>
      <c r="G9" s="151">
        <v>1201.7</v>
      </c>
      <c r="H9" s="121">
        <f t="shared" si="11"/>
        <v>736606.9800000001</v>
      </c>
      <c r="I9" s="121">
        <v>500</v>
      </c>
      <c r="J9" s="121">
        <v>0</v>
      </c>
      <c r="K9" s="121">
        <f t="shared" si="12"/>
        <v>1406.9199999999998</v>
      </c>
      <c r="L9" s="122">
        <f t="shared" si="3"/>
        <v>738013.90000000014</v>
      </c>
      <c r="M9" s="228" t="s">
        <v>35</v>
      </c>
      <c r="N9" s="152">
        <f>249704.37-2226.44</f>
        <v>247477.93</v>
      </c>
      <c r="O9" s="152">
        <v>259068.65</v>
      </c>
      <c r="P9" s="152"/>
      <c r="Q9" s="152"/>
      <c r="R9" s="152">
        <f>96921.15</f>
        <v>96921.15</v>
      </c>
      <c r="S9" s="151">
        <f>136110.59</f>
        <v>136110.59</v>
      </c>
      <c r="T9" s="152">
        <f t="shared" si="4"/>
        <v>238282.36999999997</v>
      </c>
      <c r="U9" s="228" t="s">
        <v>35</v>
      </c>
      <c r="V9" s="148">
        <f>AN8+D9+G9+J9</f>
        <v>17474.525000000012</v>
      </c>
      <c r="W9" s="121">
        <v>2957.61</v>
      </c>
      <c r="X9" s="121">
        <v>9330</v>
      </c>
      <c r="Y9" s="121">
        <v>1901.57</v>
      </c>
      <c r="Z9" s="121">
        <v>0</v>
      </c>
      <c r="AA9" s="121">
        <v>4923.08</v>
      </c>
      <c r="AB9" s="121">
        <v>8563.1200000000008</v>
      </c>
      <c r="AC9" s="121">
        <v>330.16</v>
      </c>
      <c r="AD9" s="121"/>
      <c r="AE9" s="121">
        <v>2138.13</v>
      </c>
      <c r="AF9" s="121"/>
      <c r="AG9" s="121">
        <f>(R9+S9)*1%</f>
        <v>2330.3173999999999</v>
      </c>
      <c r="AH9" s="121">
        <f>(R9+S9)*1.4%</f>
        <v>3262.4443599999995</v>
      </c>
      <c r="AI9" s="121">
        <f>(D9+G9+J9)*10%</f>
        <v>3710.8449999999998</v>
      </c>
      <c r="AJ9" s="121">
        <f t="shared" si="5"/>
        <v>39447.276760000008</v>
      </c>
      <c r="AK9" s="122">
        <f t="shared" si="6"/>
        <v>-21972.751759999996</v>
      </c>
      <c r="AL9" s="121"/>
      <c r="AM9" s="122">
        <f t="shared" si="7"/>
        <v>-21972.751759999996</v>
      </c>
      <c r="AN9" s="122">
        <f t="shared" si="8"/>
        <v>-21972.751759999996</v>
      </c>
      <c r="AP9" s="151" t="s">
        <v>130</v>
      </c>
      <c r="AQ9" s="122">
        <f>AN8</f>
        <v>-19633.924999999988</v>
      </c>
      <c r="AR9" s="121">
        <f>D9+G9+J9</f>
        <v>37108.449999999997</v>
      </c>
      <c r="AS9" s="122">
        <f t="shared" si="9"/>
        <v>39447.276760000008</v>
      </c>
      <c r="AT9" s="121"/>
      <c r="AU9" s="121"/>
      <c r="AV9" s="204">
        <f>AQ9+AR9-AS9-AU9</f>
        <v>-21972.751759999999</v>
      </c>
    </row>
    <row r="10" spans="1:48" s="132" customFormat="1" x14ac:dyDescent="0.25">
      <c r="A10" s="228" t="s">
        <v>36</v>
      </c>
      <c r="B10" s="163">
        <f t="shared" si="10"/>
        <v>35232.47</v>
      </c>
      <c r="C10" s="134">
        <f>9330.96+3653.1+23989.87</f>
        <v>36973.93</v>
      </c>
      <c r="D10" s="121">
        <f>8250.42+2819.82+21621.28</f>
        <v>32691.519999999997</v>
      </c>
      <c r="E10" s="161">
        <f t="shared" si="2"/>
        <v>39514.879999999997</v>
      </c>
      <c r="F10" s="121">
        <f>2395.17+5373.15+1526.36+2371.79+2074.13+1632.87+1201.27+247.88+247.88</f>
        <v>17070.500000000004</v>
      </c>
      <c r="G10" s="121">
        <f>1201.7</f>
        <v>1201.7</v>
      </c>
      <c r="H10" s="121">
        <f t="shared" si="11"/>
        <v>752475.78000000014</v>
      </c>
      <c r="I10" s="121">
        <v>500</v>
      </c>
      <c r="J10" s="121">
        <v>600</v>
      </c>
      <c r="K10" s="121">
        <f t="shared" si="12"/>
        <v>1306.9199999999998</v>
      </c>
      <c r="L10" s="122">
        <f t="shared" si="3"/>
        <v>753782.70000000019</v>
      </c>
      <c r="M10" s="228" t="s">
        <v>36</v>
      </c>
      <c r="N10" s="121">
        <f>257602-1810.67</f>
        <v>255791.33</v>
      </c>
      <c r="O10" s="121">
        <f>261489.45</f>
        <v>261489.45</v>
      </c>
      <c r="P10" s="121"/>
      <c r="Q10" s="121"/>
      <c r="R10" s="121">
        <f>78480.1</f>
        <v>78480.100000000006</v>
      </c>
      <c r="S10" s="121">
        <v>97816.56</v>
      </c>
      <c r="T10" s="152">
        <f t="shared" si="4"/>
        <v>301469.24000000005</v>
      </c>
      <c r="U10" s="228" t="s">
        <v>36</v>
      </c>
      <c r="V10" s="148">
        <f>AN9+D10+G10+J10</f>
        <v>12520.468240000002</v>
      </c>
      <c r="W10" s="121">
        <v>2957.61</v>
      </c>
      <c r="X10" s="121">
        <v>9330</v>
      </c>
      <c r="Y10" s="121">
        <v>1901.57</v>
      </c>
      <c r="Z10" s="121">
        <v>0</v>
      </c>
      <c r="AA10" s="121">
        <v>4923.08</v>
      </c>
      <c r="AB10" s="121">
        <v>8563.1200000000008</v>
      </c>
      <c r="AC10" s="121">
        <v>330.16</v>
      </c>
      <c r="AD10" s="121"/>
      <c r="AE10" s="121">
        <v>2138.13</v>
      </c>
      <c r="AF10" s="121"/>
      <c r="AG10" s="121">
        <f>(R10+S10)*1%</f>
        <v>1762.9666</v>
      </c>
      <c r="AH10" s="121">
        <f>(R10+S10)*1.4%</f>
        <v>2468.1532399999996</v>
      </c>
      <c r="AI10" s="121">
        <f>(D10+G10+J10)*10%</f>
        <v>3449.3219999999997</v>
      </c>
      <c r="AJ10" s="121">
        <f t="shared" si="5"/>
        <v>37824.111840000005</v>
      </c>
      <c r="AK10" s="122">
        <f t="shared" si="6"/>
        <v>-25303.643600000003</v>
      </c>
      <c r="AL10" s="121"/>
      <c r="AM10" s="122">
        <f t="shared" si="7"/>
        <v>-25303.643600000003</v>
      </c>
      <c r="AN10" s="122">
        <f t="shared" si="8"/>
        <v>-25303.643600000003</v>
      </c>
      <c r="AO10" s="121"/>
      <c r="AP10" s="151" t="s">
        <v>131</v>
      </c>
      <c r="AQ10" s="122">
        <f>AN9</f>
        <v>-21972.751759999996</v>
      </c>
      <c r="AR10" s="121">
        <f>D10+G10+J10</f>
        <v>34493.219999999994</v>
      </c>
      <c r="AS10" s="122">
        <f t="shared" si="9"/>
        <v>37824.111840000005</v>
      </c>
      <c r="AT10" s="121"/>
      <c r="AU10" s="121"/>
      <c r="AV10" s="204">
        <f>AQ10+AR10-AS10-AU10</f>
        <v>-25303.643600000007</v>
      </c>
    </row>
    <row r="11" spans="1:48" s="132" customFormat="1" x14ac:dyDescent="0.25">
      <c r="A11" s="228" t="s">
        <v>37</v>
      </c>
      <c r="B11" s="163">
        <f t="shared" si="10"/>
        <v>39514.879999999997</v>
      </c>
      <c r="C11" s="134">
        <f>9330.96+3353.06+24289.91</f>
        <v>36973.93</v>
      </c>
      <c r="D11" s="121">
        <f>9643+3135.5+25505.36</f>
        <v>38283.86</v>
      </c>
      <c r="E11" s="161">
        <f t="shared" si="2"/>
        <v>38204.949999999997</v>
      </c>
      <c r="F11" s="121">
        <f>2395.17+5373.15+1526.36+2371.79+2074.13+1632.87+1201.27+247.88+247.88</f>
        <v>17070.500000000004</v>
      </c>
      <c r="G11" s="121">
        <f>2402.74</f>
        <v>2402.7399999999998</v>
      </c>
      <c r="H11" s="121">
        <f t="shared" si="11"/>
        <v>767143.54000000015</v>
      </c>
      <c r="I11" s="121">
        <v>900</v>
      </c>
      <c r="J11" s="121">
        <v>900</v>
      </c>
      <c r="K11" s="121">
        <f t="shared" si="12"/>
        <v>1306.92</v>
      </c>
      <c r="L11" s="122">
        <f t="shared" si="3"/>
        <v>768450.4600000002</v>
      </c>
      <c r="M11" s="228" t="s">
        <v>37</v>
      </c>
      <c r="N11" s="121">
        <f>253863.7-1512.5</f>
        <v>252351.2</v>
      </c>
      <c r="O11" s="121">
        <v>233013.26</v>
      </c>
      <c r="P11" s="121"/>
      <c r="Q11" s="121"/>
      <c r="R11" s="121">
        <f>110196.73</f>
        <v>110196.73</v>
      </c>
      <c r="S11" s="121">
        <v>11721.6</v>
      </c>
      <c r="T11" s="152">
        <f t="shared" si="4"/>
        <v>325241.18000000005</v>
      </c>
      <c r="U11" s="228" t="s">
        <v>37</v>
      </c>
      <c r="V11" s="148">
        <f>AN10+D11+G11+J11</f>
        <v>16282.956399999997</v>
      </c>
      <c r="W11" s="121">
        <v>2957.61</v>
      </c>
      <c r="X11" s="121">
        <v>9330</v>
      </c>
      <c r="Y11" s="121">
        <v>1901.57</v>
      </c>
      <c r="Z11" s="121">
        <v>0</v>
      </c>
      <c r="AA11" s="121">
        <v>4923.08</v>
      </c>
      <c r="AB11" s="121">
        <v>8563.1200000000008</v>
      </c>
      <c r="AC11" s="121">
        <v>330.16</v>
      </c>
      <c r="AD11" s="121"/>
      <c r="AE11" s="121">
        <v>2138.13</v>
      </c>
      <c r="AF11" s="121"/>
      <c r="AG11" s="121">
        <f>(R11+S11)*1%</f>
        <v>1219.1833000000001</v>
      </c>
      <c r="AH11" s="121">
        <f>(R11+S11)*1.4%</f>
        <v>1706.8566199999998</v>
      </c>
      <c r="AI11" s="121">
        <f>(D11+G11+J11)*10%</f>
        <v>4158.66</v>
      </c>
      <c r="AJ11" s="121">
        <f t="shared" si="5"/>
        <v>37228.369920000012</v>
      </c>
      <c r="AK11" s="122">
        <f t="shared" si="6"/>
        <v>-20945.413520000016</v>
      </c>
      <c r="AL11" s="121">
        <v>6115.81</v>
      </c>
      <c r="AM11" s="122">
        <f t="shared" si="7"/>
        <v>-27061.223520000018</v>
      </c>
      <c r="AN11" s="122">
        <f t="shared" si="8"/>
        <v>-27061.223520000018</v>
      </c>
      <c r="AO11" s="121"/>
      <c r="AP11" s="151" t="s">
        <v>37</v>
      </c>
      <c r="AQ11" s="122">
        <f>AN10</f>
        <v>-25303.643600000003</v>
      </c>
      <c r="AR11" s="121">
        <f>D11+G11+J11</f>
        <v>41586.6</v>
      </c>
      <c r="AS11" s="122">
        <f t="shared" si="9"/>
        <v>37228.369920000012</v>
      </c>
      <c r="AT11" s="166" t="s">
        <v>167</v>
      </c>
      <c r="AU11" s="121">
        <v>6115.81</v>
      </c>
      <c r="AV11" s="204">
        <f>AQ11+AR11-AS11-AU11</f>
        <v>-27061.223520000018</v>
      </c>
    </row>
    <row r="12" spans="1:48" s="132" customFormat="1" x14ac:dyDescent="0.25">
      <c r="A12" s="228" t="s">
        <v>112</v>
      </c>
      <c r="B12" s="163">
        <f t="shared" si="10"/>
        <v>38204.949999999997</v>
      </c>
      <c r="C12" s="121">
        <f>9330.96+3353.06+24289.91</f>
        <v>36973.93</v>
      </c>
      <c r="D12" s="121">
        <f>8547.2+2209.78+23110.5</f>
        <v>33867.480000000003</v>
      </c>
      <c r="E12" s="134">
        <f t="shared" si="2"/>
        <v>41311.4</v>
      </c>
      <c r="F12" s="121">
        <f>2395.17+5373.15+1526.36+2371.79+2074.13+1632.87+1201.27+247.88+247.88</f>
        <v>17070.500000000004</v>
      </c>
      <c r="G12" s="121">
        <v>1201.27</v>
      </c>
      <c r="H12" s="121">
        <f t="shared" si="11"/>
        <v>783012.77000000014</v>
      </c>
      <c r="I12" s="121">
        <v>900</v>
      </c>
      <c r="J12" s="121">
        <v>0</v>
      </c>
      <c r="K12" s="121">
        <f t="shared" si="12"/>
        <v>2206.92</v>
      </c>
      <c r="L12" s="122">
        <f t="shared" si="3"/>
        <v>785219.69000000018</v>
      </c>
      <c r="M12" s="228" t="s">
        <v>112</v>
      </c>
      <c r="N12" s="121">
        <f>277608.51-1712.27</f>
        <v>275896.24</v>
      </c>
      <c r="O12" s="121">
        <v>135196.70000000001</v>
      </c>
      <c r="P12" s="121"/>
      <c r="Q12" s="121"/>
      <c r="R12" s="121">
        <v>98672.77</v>
      </c>
      <c r="S12" s="121">
        <v>1250.01</v>
      </c>
      <c r="T12" s="152">
        <f t="shared" si="4"/>
        <v>269858.75999999995</v>
      </c>
      <c r="U12" s="228" t="s">
        <v>112</v>
      </c>
      <c r="V12" s="148">
        <f>AN11+D12+G12+J12</f>
        <v>8007.5264799999859</v>
      </c>
      <c r="W12" s="121">
        <v>2957.61</v>
      </c>
      <c r="X12" s="121">
        <v>9330</v>
      </c>
      <c r="Y12" s="121">
        <v>1901.57</v>
      </c>
      <c r="Z12" s="121">
        <v>0</v>
      </c>
      <c r="AA12" s="121">
        <v>4923.08</v>
      </c>
      <c r="AB12" s="121">
        <v>8563.1200000000008</v>
      </c>
      <c r="AC12" s="121">
        <v>330.16</v>
      </c>
      <c r="AD12" s="121"/>
      <c r="AE12" s="121">
        <v>2138.13</v>
      </c>
      <c r="AF12" s="121"/>
      <c r="AG12" s="121">
        <f>(R12+S12)*1%</f>
        <v>999.2278</v>
      </c>
      <c r="AH12" s="121">
        <f>(R12+S12)*1.4%</f>
        <v>1398.9189199999998</v>
      </c>
      <c r="AI12" s="121">
        <f>(D12+G12+J12)*10%</f>
        <v>3506.875</v>
      </c>
      <c r="AJ12" s="121">
        <f t="shared" si="5"/>
        <v>36048.691720000003</v>
      </c>
      <c r="AK12" s="122">
        <f t="shared" si="6"/>
        <v>-28041.165240000017</v>
      </c>
      <c r="AL12" s="121"/>
      <c r="AM12" s="122">
        <f t="shared" si="7"/>
        <v>-28041.165240000017</v>
      </c>
      <c r="AN12" s="122">
        <f t="shared" si="8"/>
        <v>-28041.165240000017</v>
      </c>
      <c r="AO12" s="121"/>
      <c r="AP12" s="151" t="s">
        <v>38</v>
      </c>
      <c r="AQ12" s="122">
        <f>AN11</f>
        <v>-27061.223520000018</v>
      </c>
      <c r="AR12" s="121">
        <f>D12+G12+J12</f>
        <v>35068.75</v>
      </c>
      <c r="AS12" s="122">
        <f t="shared" si="9"/>
        <v>36048.691720000003</v>
      </c>
      <c r="AT12" s="121"/>
      <c r="AU12" s="121"/>
      <c r="AV12" s="204">
        <f>AQ12+AR12-AS12-AU12</f>
        <v>-28041.16524000002</v>
      </c>
    </row>
    <row r="13" spans="1:48" s="132" customFormat="1" x14ac:dyDescent="0.25">
      <c r="A13" s="228" t="s">
        <v>113</v>
      </c>
      <c r="B13" s="163">
        <f t="shared" si="10"/>
        <v>41311.4</v>
      </c>
      <c r="C13" s="121">
        <f>9330.96+3353.06+24289.91</f>
        <v>36973.93</v>
      </c>
      <c r="D13" s="121">
        <f>23351.94+8905.74+3138.35</f>
        <v>35396.03</v>
      </c>
      <c r="E13" s="134">
        <f t="shared" si="2"/>
        <v>42889.3</v>
      </c>
      <c r="F13" s="121">
        <f>2395.17+5373.15+1526.36+2371.79+2074.13+1632.87+1201.27+247.88+247.88</f>
        <v>17070.500000000004</v>
      </c>
      <c r="G13" s="121">
        <f>4743.58+5802.02</f>
        <v>10545.6</v>
      </c>
      <c r="H13" s="121">
        <f t="shared" si="11"/>
        <v>789537.67000000016</v>
      </c>
      <c r="I13" s="121">
        <v>900</v>
      </c>
      <c r="J13" s="121">
        <v>1500</v>
      </c>
      <c r="K13" s="121">
        <f t="shared" si="12"/>
        <v>1606.92</v>
      </c>
      <c r="L13" s="122">
        <f t="shared" si="3"/>
        <v>791144.5900000002</v>
      </c>
      <c r="M13" s="228" t="s">
        <v>113</v>
      </c>
      <c r="N13" s="121">
        <f>276933.59-1378.78</f>
        <v>275554.81</v>
      </c>
      <c r="O13" s="121">
        <f>123522.88-47.78</f>
        <v>123475.1</v>
      </c>
      <c r="P13" s="121">
        <f>99905.93</f>
        <v>99905.93</v>
      </c>
      <c r="Q13" s="121">
        <v>0</v>
      </c>
      <c r="R13" s="121">
        <v>91358.33</v>
      </c>
      <c r="S13" s="121">
        <v>2816.52</v>
      </c>
      <c r="T13" s="152">
        <f>N13+O13-R13-S13-E13</f>
        <v>261965.76</v>
      </c>
      <c r="U13" s="228" t="s">
        <v>113</v>
      </c>
      <c r="V13" s="148">
        <f>AN12+D13+G13+J13</f>
        <v>19400.464759999981</v>
      </c>
      <c r="W13" s="121">
        <v>2957.61</v>
      </c>
      <c r="X13" s="121">
        <v>9330</v>
      </c>
      <c r="Y13" s="121">
        <v>1901.57</v>
      </c>
      <c r="Z13" s="121">
        <v>0</v>
      </c>
      <c r="AA13" s="121">
        <v>4923.08</v>
      </c>
      <c r="AB13" s="121">
        <v>8563.1200000000008</v>
      </c>
      <c r="AC13" s="121">
        <v>330.16</v>
      </c>
      <c r="AD13" s="121"/>
      <c r="AE13" s="121">
        <v>2139.13</v>
      </c>
      <c r="AF13" s="121"/>
      <c r="AG13" s="121">
        <f>(R13+S13)*1%</f>
        <v>941.74850000000004</v>
      </c>
      <c r="AH13" s="121">
        <f>(R13+S13)*1.4%</f>
        <v>1318.4478999999999</v>
      </c>
      <c r="AI13" s="121">
        <f>(D13+G13+J13)*10%</f>
        <v>4744.1629999999996</v>
      </c>
      <c r="AJ13" s="121">
        <f t="shared" ref="AJ13:AJ18" si="13">SUM(W13:AI13)</f>
        <v>37149.029400000007</v>
      </c>
      <c r="AK13" s="122">
        <f t="shared" si="6"/>
        <v>-17748.564640000026</v>
      </c>
      <c r="AL13" s="121"/>
      <c r="AM13" s="122">
        <f t="shared" si="7"/>
        <v>-17748.564640000026</v>
      </c>
      <c r="AN13" s="122">
        <f t="shared" si="8"/>
        <v>-17748.564640000026</v>
      </c>
      <c r="AO13" s="121"/>
      <c r="AP13" s="151" t="s">
        <v>39</v>
      </c>
      <c r="AQ13" s="122">
        <f t="shared" ref="AQ13:AQ18" si="14">AN12</f>
        <v>-28041.165240000017</v>
      </c>
      <c r="AR13" s="121">
        <f>D13+G13+J13</f>
        <v>47441.63</v>
      </c>
      <c r="AS13" s="122">
        <f t="shared" si="9"/>
        <v>37149.029400000007</v>
      </c>
      <c r="AT13" s="121"/>
      <c r="AU13" s="121"/>
      <c r="AV13" s="204">
        <f>AQ13+AR13-AS13-AU13</f>
        <v>-17748.564640000026</v>
      </c>
    </row>
    <row r="14" spans="1:48" s="132" customFormat="1" x14ac:dyDescent="0.25">
      <c r="A14" s="228" t="s">
        <v>28</v>
      </c>
      <c r="B14" s="163">
        <f t="shared" si="10"/>
        <v>42889.3</v>
      </c>
      <c r="C14" s="121">
        <f>9330.96+3363.06+24289.91</f>
        <v>36983.93</v>
      </c>
      <c r="D14" s="121">
        <f>10156.3+4679.77+25468.54</f>
        <v>40304.61</v>
      </c>
      <c r="E14" s="134">
        <f t="shared" si="2"/>
        <v>39568.62000000001</v>
      </c>
      <c r="F14" s="121">
        <f>2395.17+5373.15+1526.36+2371.79+2074.13+1632.87+1201.27+247.88+247.88</f>
        <v>17070.500000000004</v>
      </c>
      <c r="G14" s="121">
        <v>1160.97</v>
      </c>
      <c r="H14" s="121">
        <f t="shared" si="11"/>
        <v>805447.20000000019</v>
      </c>
      <c r="I14" s="121">
        <v>900</v>
      </c>
      <c r="J14" s="121">
        <v>1500</v>
      </c>
      <c r="K14" s="121">
        <f>K13+I14-J14</f>
        <v>1006.9200000000001</v>
      </c>
      <c r="L14" s="122">
        <f t="shared" si="3"/>
        <v>806454.12000000023</v>
      </c>
      <c r="M14" s="228" t="s">
        <v>28</v>
      </c>
      <c r="N14" s="121">
        <f>278289.4-1500.43</f>
        <v>276788.97000000003</v>
      </c>
      <c r="O14" s="121">
        <f>122851.99-626.9</f>
        <v>122225.09000000001</v>
      </c>
      <c r="P14" s="121">
        <v>92869.63</v>
      </c>
      <c r="Q14" s="121">
        <v>0</v>
      </c>
      <c r="R14" s="121">
        <v>111027.79</v>
      </c>
      <c r="S14" s="121">
        <v>10867.55</v>
      </c>
      <c r="T14" s="152">
        <f t="shared" si="4"/>
        <v>237550.10000000009</v>
      </c>
      <c r="U14" s="228" t="s">
        <v>28</v>
      </c>
      <c r="V14" s="148">
        <f>AN13+D14+G14+J14</f>
        <v>25217.015359999976</v>
      </c>
      <c r="W14" s="121">
        <v>2957.61</v>
      </c>
      <c r="X14" s="121">
        <v>9330</v>
      </c>
      <c r="Y14" s="121">
        <v>1901.57</v>
      </c>
      <c r="Z14" s="121">
        <v>0</v>
      </c>
      <c r="AA14" s="121">
        <v>4923.08</v>
      </c>
      <c r="AB14" s="121">
        <v>8563.1200000000008</v>
      </c>
      <c r="AC14" s="121">
        <v>330.16</v>
      </c>
      <c r="AD14" s="121"/>
      <c r="AE14" s="121">
        <v>2140.13</v>
      </c>
      <c r="AF14" s="121"/>
      <c r="AG14" s="121">
        <f>(R14+S14)*1%</f>
        <v>1218.9534000000001</v>
      </c>
      <c r="AH14" s="121">
        <f>(R14+S14)*1.4%</f>
        <v>1706.5347599999998</v>
      </c>
      <c r="AI14" s="121">
        <f>(D14+G14+J14)*10%</f>
        <v>4296.558</v>
      </c>
      <c r="AJ14" s="121">
        <f t="shared" si="13"/>
        <v>37367.716160000004</v>
      </c>
      <c r="AK14" s="122">
        <f t="shared" si="6"/>
        <v>-12150.700800000028</v>
      </c>
      <c r="AL14" s="121"/>
      <c r="AM14" s="122">
        <f t="shared" si="7"/>
        <v>-12150.700800000028</v>
      </c>
      <c r="AN14" s="122">
        <f t="shared" si="8"/>
        <v>-12150.700800000028</v>
      </c>
      <c r="AO14" s="121"/>
      <c r="AP14" s="151" t="s">
        <v>40</v>
      </c>
      <c r="AQ14" s="122">
        <f t="shared" si="14"/>
        <v>-17748.564640000026</v>
      </c>
      <c r="AR14" s="121">
        <f>D14+G14+J14</f>
        <v>42965.58</v>
      </c>
      <c r="AS14" s="122">
        <f t="shared" si="9"/>
        <v>37367.716160000004</v>
      </c>
      <c r="AT14" s="121"/>
      <c r="AU14" s="121"/>
      <c r="AV14" s="204">
        <f>AQ14+AR14-AS14-AU14</f>
        <v>-12150.700800000028</v>
      </c>
    </row>
    <row r="15" spans="1:48" x14ac:dyDescent="0.25">
      <c r="A15" s="228" t="s">
        <v>29</v>
      </c>
      <c r="B15" s="163">
        <f t="shared" si="10"/>
        <v>39568.62000000001</v>
      </c>
      <c r="C15" s="121">
        <f>9330.96+3363.06+24289.91</f>
        <v>36983.93</v>
      </c>
      <c r="D15" s="1">
        <f>86012.85+2828.35+22988.41</f>
        <v>111829.61000000002</v>
      </c>
      <c r="E15" s="134">
        <f t="shared" si="2"/>
        <v>-35277.06</v>
      </c>
      <c r="F15" s="1">
        <v>18863.7</v>
      </c>
      <c r="G15" s="1">
        <v>7065.52</v>
      </c>
      <c r="H15" s="121">
        <f t="shared" si="11"/>
        <v>817245.38000000012</v>
      </c>
      <c r="I15" s="121">
        <v>900</v>
      </c>
      <c r="J15" s="1">
        <v>0</v>
      </c>
      <c r="K15" s="121">
        <f>K14+I15-J15</f>
        <v>1906.92</v>
      </c>
      <c r="L15" s="122">
        <f t="shared" si="3"/>
        <v>819152.30000000016</v>
      </c>
      <c r="M15" s="228" t="s">
        <v>29</v>
      </c>
      <c r="N15" s="121">
        <f>279586.06-1285.79</f>
        <v>278300.27</v>
      </c>
      <c r="O15" s="1">
        <f>120686.47-1277.9</f>
        <v>119408.57</v>
      </c>
      <c r="P15" s="1">
        <f>101937.03-415.54</f>
        <v>101521.49</v>
      </c>
      <c r="Q15" s="1">
        <v>0</v>
      </c>
      <c r="R15" s="1">
        <v>94863.07</v>
      </c>
      <c r="S15" s="1">
        <v>3415.55</v>
      </c>
      <c r="T15" s="152">
        <f t="shared" si="4"/>
        <v>334707.28000000003</v>
      </c>
      <c r="U15" s="228" t="s">
        <v>29</v>
      </c>
      <c r="V15" s="148">
        <f>AN14+D15+G15+J15</f>
        <v>106744.4292</v>
      </c>
      <c r="W15" s="121">
        <v>2957.61</v>
      </c>
      <c r="X15" s="121">
        <v>9330</v>
      </c>
      <c r="Y15" s="121">
        <v>1901.57</v>
      </c>
      <c r="Z15" s="121">
        <v>0</v>
      </c>
      <c r="AA15" s="121">
        <v>4923.08</v>
      </c>
      <c r="AB15" s="121">
        <v>8563.1200000000008</v>
      </c>
      <c r="AC15" s="121">
        <v>330.16</v>
      </c>
      <c r="AD15" s="1"/>
      <c r="AE15" s="121">
        <v>2141.13</v>
      </c>
      <c r="AF15" s="121"/>
      <c r="AG15" s="121">
        <f>(R15+S15)*1%</f>
        <v>982.78620000000012</v>
      </c>
      <c r="AH15" s="121">
        <f>(R15+S15)*1.4%</f>
        <v>1375.90068</v>
      </c>
      <c r="AI15" s="121">
        <f>(D15+G15+J15)*10%</f>
        <v>11889.513000000003</v>
      </c>
      <c r="AJ15" s="121">
        <f t="shared" si="13"/>
        <v>44394.869880000006</v>
      </c>
      <c r="AK15" s="122">
        <f t="shared" si="6"/>
        <v>62349.559319999993</v>
      </c>
      <c r="AL15" s="1"/>
      <c r="AM15" s="122">
        <f t="shared" si="7"/>
        <v>62349.559319999993</v>
      </c>
      <c r="AN15" s="122">
        <f t="shared" si="8"/>
        <v>62349.559319999993</v>
      </c>
      <c r="AO15" s="1"/>
      <c r="AP15" s="151" t="s">
        <v>41</v>
      </c>
      <c r="AQ15" s="122">
        <f t="shared" si="14"/>
        <v>-12150.700800000028</v>
      </c>
      <c r="AR15" s="121">
        <f>D15+G15+J15</f>
        <v>118895.13000000002</v>
      </c>
      <c r="AS15" s="122">
        <f t="shared" si="9"/>
        <v>44394.869880000006</v>
      </c>
      <c r="AT15" s="121"/>
      <c r="AU15" s="121"/>
      <c r="AV15" s="204">
        <f>AQ15+AR15-AS15-AU15</f>
        <v>62349.559319999978</v>
      </c>
    </row>
    <row r="16" spans="1:48" x14ac:dyDescent="0.25">
      <c r="A16" s="228" t="s">
        <v>30</v>
      </c>
      <c r="B16" s="163">
        <f t="shared" si="10"/>
        <v>-35277.06</v>
      </c>
      <c r="C16" s="121">
        <f>9330.96+2725.25+24898.63</f>
        <v>36954.839999999997</v>
      </c>
      <c r="D16" s="1">
        <f>8952.02+2202.67+24298.52</f>
        <v>35453.21</v>
      </c>
      <c r="E16" s="134">
        <f t="shared" si="2"/>
        <v>-33775.43</v>
      </c>
      <c r="F16" s="1">
        <v>18863.7</v>
      </c>
      <c r="G16" s="1">
        <v>6106.9</v>
      </c>
      <c r="H16" s="121">
        <f t="shared" si="11"/>
        <v>830002.18</v>
      </c>
      <c r="I16" s="121">
        <v>300</v>
      </c>
      <c r="J16" s="1">
        <v>0</v>
      </c>
      <c r="K16" s="121">
        <f>K15+I16-J16</f>
        <v>2206.92</v>
      </c>
      <c r="L16" s="122">
        <f t="shared" si="3"/>
        <v>832209.10000000009</v>
      </c>
      <c r="M16" s="228" t="s">
        <v>30</v>
      </c>
      <c r="N16" s="121">
        <f>270175.32-1381.35</f>
        <v>268793.97000000003</v>
      </c>
      <c r="O16" s="1">
        <f>110468.92-1927.9</f>
        <v>108541.02</v>
      </c>
      <c r="P16" s="1">
        <f>95639.76+10278.04</f>
        <v>105917.79999999999</v>
      </c>
      <c r="Q16" s="1">
        <v>0</v>
      </c>
      <c r="R16" s="1">
        <v>96761.56</v>
      </c>
      <c r="S16" s="1">
        <v>3880.46</v>
      </c>
      <c r="T16" s="152">
        <f t="shared" si="4"/>
        <v>310468.40000000002</v>
      </c>
      <c r="U16" s="228" t="s">
        <v>30</v>
      </c>
      <c r="V16" s="148">
        <f>AN15+D16+G16+J16</f>
        <v>103909.66931999999</v>
      </c>
      <c r="W16" s="121">
        <v>2957.61</v>
      </c>
      <c r="X16" s="121">
        <v>9330</v>
      </c>
      <c r="Y16" s="121">
        <v>1901.57</v>
      </c>
      <c r="Z16" s="121">
        <v>0</v>
      </c>
      <c r="AA16" s="121">
        <v>4923.08</v>
      </c>
      <c r="AB16" s="121">
        <v>8563.1200000000008</v>
      </c>
      <c r="AC16" s="121">
        <v>330.16</v>
      </c>
      <c r="AD16" s="1"/>
      <c r="AE16" s="121">
        <v>2142.13</v>
      </c>
      <c r="AF16" s="121"/>
      <c r="AG16" s="121">
        <f>(R16+S16)*1%</f>
        <v>1006.4202</v>
      </c>
      <c r="AH16" s="121">
        <f>(R16+S16)*1.4%</f>
        <v>1408.9882799999998</v>
      </c>
      <c r="AI16" s="121">
        <f>(D16+G16+J16)*10%</f>
        <v>4156.0110000000004</v>
      </c>
      <c r="AJ16" s="121">
        <f t="shared" si="13"/>
        <v>36719.08948000001</v>
      </c>
      <c r="AK16" s="122">
        <f t="shared" si="6"/>
        <v>67190.579839999977</v>
      </c>
      <c r="AL16" s="1">
        <v>46031.81</v>
      </c>
      <c r="AM16" s="122">
        <f t="shared" si="7"/>
        <v>21158.769839999979</v>
      </c>
      <c r="AN16" s="122">
        <f t="shared" si="8"/>
        <v>21158.769839999979</v>
      </c>
      <c r="AO16" s="1"/>
      <c r="AP16" s="151" t="s">
        <v>42</v>
      </c>
      <c r="AQ16" s="122">
        <f t="shared" si="14"/>
        <v>62349.559319999993</v>
      </c>
      <c r="AR16" s="121">
        <f>D16+G16+J16</f>
        <v>41560.11</v>
      </c>
      <c r="AS16" s="122">
        <f t="shared" si="9"/>
        <v>36719.08948000001</v>
      </c>
      <c r="AT16" s="121" t="s">
        <v>170</v>
      </c>
      <c r="AU16" s="121">
        <f>AL16</f>
        <v>46031.81</v>
      </c>
      <c r="AV16" s="204">
        <f>AQ16+AR16-AS16-AU16</f>
        <v>21158.769839999979</v>
      </c>
    </row>
    <row r="17" spans="1:48" x14ac:dyDescent="0.25">
      <c r="A17" s="228" t="s">
        <v>31</v>
      </c>
      <c r="B17" s="163">
        <f t="shared" si="10"/>
        <v>-33775.43</v>
      </c>
      <c r="C17" s="121">
        <f>9330.96+2725.25+24898.63</f>
        <v>36954.839999999997</v>
      </c>
      <c r="D17" s="1">
        <f>8503.78+2506.98+23083.62</f>
        <v>34094.379999999997</v>
      </c>
      <c r="E17" s="134">
        <f t="shared" si="2"/>
        <v>-30914.97</v>
      </c>
      <c r="F17" s="1">
        <v>18863.7</v>
      </c>
      <c r="G17" s="1">
        <v>2867.55</v>
      </c>
      <c r="H17" s="121">
        <f t="shared" si="11"/>
        <v>845998.33</v>
      </c>
      <c r="I17" s="1">
        <v>300</v>
      </c>
      <c r="J17" s="1">
        <v>0</v>
      </c>
      <c r="K17" s="121">
        <f>K16+I17-J17</f>
        <v>2506.92</v>
      </c>
      <c r="L17" s="122">
        <f t="shared" si="3"/>
        <v>848505.25</v>
      </c>
      <c r="M17" s="228" t="s">
        <v>31</v>
      </c>
      <c r="N17" s="121">
        <f>281025.16-1176.46</f>
        <v>279848.69999999995</v>
      </c>
      <c r="O17" s="1">
        <f>108303.37-3177.9</f>
        <v>105125.47</v>
      </c>
      <c r="P17" s="1">
        <f>90706.84+979.46</f>
        <v>91686.3</v>
      </c>
      <c r="Q17" s="1">
        <v>124158.18</v>
      </c>
      <c r="R17" s="1">
        <v>86199.99</v>
      </c>
      <c r="S17" s="1">
        <v>108320.35</v>
      </c>
      <c r="T17" s="152">
        <f t="shared" si="4"/>
        <v>221368.79999999993</v>
      </c>
      <c r="U17" s="228" t="s">
        <v>31</v>
      </c>
      <c r="V17" s="148">
        <f>AN16+D17+G17+J17</f>
        <v>58120.699839999979</v>
      </c>
      <c r="W17" s="121">
        <v>2957.61</v>
      </c>
      <c r="X17" s="121">
        <v>9330</v>
      </c>
      <c r="Y17" s="121">
        <v>1901.57</v>
      </c>
      <c r="Z17" s="121">
        <v>0</v>
      </c>
      <c r="AA17" s="121">
        <v>4923.08</v>
      </c>
      <c r="AB17" s="121">
        <v>8563.1200000000008</v>
      </c>
      <c r="AC17" s="121">
        <v>330.16</v>
      </c>
      <c r="AD17" s="1"/>
      <c r="AE17" s="121">
        <v>2143.13</v>
      </c>
      <c r="AF17" s="121"/>
      <c r="AG17" s="121">
        <f>(R17+S17)*1%</f>
        <v>1945.2034000000003</v>
      </c>
      <c r="AH17" s="121">
        <f>(R17+S17)*1.4%</f>
        <v>2723.28476</v>
      </c>
      <c r="AI17" s="121">
        <f>(D17+G17+J17)*10%</f>
        <v>3696.1930000000002</v>
      </c>
      <c r="AJ17" s="121">
        <f t="shared" si="13"/>
        <v>38513.351160000006</v>
      </c>
      <c r="AK17" s="122">
        <f t="shared" si="6"/>
        <v>19607.348679999974</v>
      </c>
      <c r="AL17" s="1"/>
      <c r="AM17" s="122">
        <f t="shared" si="7"/>
        <v>19607.348679999974</v>
      </c>
      <c r="AN17" s="122">
        <f t="shared" si="8"/>
        <v>19607.348679999974</v>
      </c>
      <c r="AO17" s="1"/>
      <c r="AP17" s="151" t="s">
        <v>43</v>
      </c>
      <c r="AQ17" s="122">
        <f t="shared" si="14"/>
        <v>21158.769839999979</v>
      </c>
      <c r="AR17" s="121">
        <f>D17+G17+J17</f>
        <v>36961.93</v>
      </c>
      <c r="AS17" s="122">
        <f t="shared" si="9"/>
        <v>38513.351160000006</v>
      </c>
      <c r="AT17" s="121"/>
      <c r="AU17" s="121">
        <f>AL17</f>
        <v>0</v>
      </c>
      <c r="AV17" s="204">
        <f>AQ17+AR17-AS17-AU17</f>
        <v>19607.348679999974</v>
      </c>
    </row>
    <row r="18" spans="1:48" x14ac:dyDescent="0.25">
      <c r="A18" s="228" t="s">
        <v>32</v>
      </c>
      <c r="B18" s="163">
        <f t="shared" si="10"/>
        <v>-30914.97</v>
      </c>
      <c r="C18" s="121">
        <f>9330.96+3353.06+24270.82</f>
        <v>36954.839999999997</v>
      </c>
      <c r="D18" s="1">
        <f>8618.7+1586.94+23685.61</f>
        <v>33891.25</v>
      </c>
      <c r="E18" s="134">
        <f t="shared" si="2"/>
        <v>-27851.380000000005</v>
      </c>
      <c r="F18" s="1">
        <v>18863.7</v>
      </c>
      <c r="G18" s="1">
        <v>4028.52</v>
      </c>
      <c r="H18" s="121">
        <f t="shared" si="11"/>
        <v>860833.50999999989</v>
      </c>
      <c r="I18" s="1">
        <v>900</v>
      </c>
      <c r="J18" s="1">
        <v>600</v>
      </c>
      <c r="K18" s="121">
        <f>K17+I18-J18</f>
        <v>2806.92</v>
      </c>
      <c r="L18" s="122">
        <f t="shared" si="3"/>
        <v>863640.42999999993</v>
      </c>
      <c r="M18" s="228" t="s">
        <v>32</v>
      </c>
      <c r="N18" s="121">
        <f>2763026.37-1252.93</f>
        <v>2761773.44</v>
      </c>
      <c r="O18" s="1">
        <f>229058.21-3655.02</f>
        <v>225403.19</v>
      </c>
      <c r="P18" s="1">
        <f>94655.28+302.21</f>
        <v>94957.49</v>
      </c>
      <c r="Q18" s="1">
        <v>131488.78</v>
      </c>
      <c r="R18" s="1">
        <v>83632.759999999995</v>
      </c>
      <c r="S18" s="1">
        <v>115131.49</v>
      </c>
      <c r="T18" s="122">
        <f t="shared" si="4"/>
        <v>2816263.76</v>
      </c>
      <c r="U18" s="228" t="s">
        <v>32</v>
      </c>
      <c r="V18" s="148">
        <f>AN17+D18+G18+J18</f>
        <v>58127.11867999997</v>
      </c>
      <c r="W18" s="121">
        <v>2957.61</v>
      </c>
      <c r="X18" s="121">
        <v>9330</v>
      </c>
      <c r="Y18" s="121">
        <v>1901.57</v>
      </c>
      <c r="Z18" s="121">
        <v>0</v>
      </c>
      <c r="AA18" s="121">
        <v>4923.08</v>
      </c>
      <c r="AB18" s="121">
        <v>8563.1200000000008</v>
      </c>
      <c r="AC18" s="121">
        <v>330.16</v>
      </c>
      <c r="AD18" s="1"/>
      <c r="AE18" s="121">
        <v>2144.13</v>
      </c>
      <c r="AF18" s="121"/>
      <c r="AG18" s="121">
        <f>(R18+S18)*1%</f>
        <v>1987.6425000000002</v>
      </c>
      <c r="AH18" s="121">
        <f>(R18+S18)*1.4%</f>
        <v>2782.6994999999997</v>
      </c>
      <c r="AI18" s="121">
        <f>(D18+G18+J18)*10%</f>
        <v>3851.9769999999999</v>
      </c>
      <c r="AJ18" s="121">
        <f t="shared" si="13"/>
        <v>38771.989000000009</v>
      </c>
      <c r="AK18" s="122">
        <f t="shared" si="6"/>
        <v>19355.129679999962</v>
      </c>
      <c r="AL18" s="1">
        <v>9933.7199999999993</v>
      </c>
      <c r="AM18" s="122">
        <f t="shared" si="7"/>
        <v>9421.4096799999625</v>
      </c>
      <c r="AN18" s="122">
        <f t="shared" si="8"/>
        <v>9421.4096799999625</v>
      </c>
      <c r="AP18" s="121" t="s">
        <v>133</v>
      </c>
      <c r="AQ18" s="122">
        <f t="shared" si="14"/>
        <v>19607.348679999974</v>
      </c>
      <c r="AR18" s="121">
        <f>D18+G18+J18</f>
        <v>38519.769999999997</v>
      </c>
      <c r="AS18" s="122">
        <f t="shared" si="9"/>
        <v>38771.989000000009</v>
      </c>
      <c r="AT18" s="121" t="s">
        <v>171</v>
      </c>
      <c r="AU18" s="121">
        <f>AL18</f>
        <v>9933.7199999999993</v>
      </c>
      <c r="AV18" s="204">
        <f>AQ18+AR18-AS18-AU18</f>
        <v>9421.4096799999625</v>
      </c>
    </row>
    <row r="19" spans="1:48" s="132" customFormat="1" ht="18" customHeight="1" x14ac:dyDescent="0.25">
      <c r="A19" s="147"/>
      <c r="B19" s="148"/>
      <c r="C19" s="133"/>
      <c r="D19" s="133"/>
      <c r="E19" s="148">
        <f t="shared" ref="E19:E22" si="15">B19+C19-D19</f>
        <v>0</v>
      </c>
      <c r="F19" s="144" t="s">
        <v>208</v>
      </c>
      <c r="G19" s="121"/>
      <c r="H19" s="121"/>
      <c r="I19" s="121"/>
      <c r="J19" s="121"/>
      <c r="K19" s="121"/>
      <c r="L19" s="122"/>
      <c r="M19" s="167"/>
      <c r="N19" s="134"/>
      <c r="O19" s="134"/>
      <c r="P19" s="133"/>
      <c r="Q19" s="133"/>
      <c r="R19" s="144" t="s">
        <v>208</v>
      </c>
      <c r="S19" s="134"/>
      <c r="T19" s="122"/>
      <c r="U19" s="147"/>
      <c r="V19" s="148"/>
      <c r="W19" s="121"/>
      <c r="X19" s="121"/>
      <c r="Y19" s="121"/>
      <c r="Z19" s="121"/>
      <c r="AA19" s="121"/>
      <c r="AB19" s="121"/>
      <c r="AC19" s="121"/>
      <c r="AD19" s="121"/>
      <c r="AE19" s="144" t="s">
        <v>208</v>
      </c>
      <c r="AF19" s="121"/>
      <c r="AG19" s="121"/>
      <c r="AH19" s="121"/>
      <c r="AI19" s="121"/>
      <c r="AJ19" s="121"/>
      <c r="AK19" s="122"/>
      <c r="AL19" s="121"/>
      <c r="AM19" s="122"/>
      <c r="AN19" s="122"/>
      <c r="AP19" s="144" t="s">
        <v>208</v>
      </c>
      <c r="AQ19" s="122"/>
      <c r="AR19" s="121"/>
      <c r="AS19" s="122"/>
      <c r="AT19" s="121"/>
      <c r="AU19" s="121"/>
      <c r="AV19" s="122"/>
    </row>
    <row r="20" spans="1:48" s="211" customFormat="1" ht="12" customHeight="1" x14ac:dyDescent="0.25">
      <c r="A20" s="317" t="s">
        <v>33</v>
      </c>
      <c r="B20" s="207">
        <f>E18</f>
        <v>-27851.380000000005</v>
      </c>
      <c r="C20" s="207">
        <v>40842.74</v>
      </c>
      <c r="D20" s="207">
        <v>39648.28</v>
      </c>
      <c r="E20" s="207">
        <f t="shared" si="15"/>
        <v>-26656.920000000006</v>
      </c>
      <c r="F20" s="205">
        <v>17030.2</v>
      </c>
      <c r="G20" s="205">
        <v>1656.73</v>
      </c>
      <c r="H20" s="205">
        <f>H18+F20-G20</f>
        <v>876206.97999999986</v>
      </c>
      <c r="I20" s="205"/>
      <c r="J20" s="205">
        <v>0</v>
      </c>
      <c r="K20" s="205">
        <f>K18+I20-J20</f>
        <v>2806.92</v>
      </c>
      <c r="L20" s="205">
        <f t="shared" ref="L20:L22" si="16">H20+K20</f>
        <v>879013.89999999991</v>
      </c>
      <c r="M20" s="227" t="s">
        <v>33</v>
      </c>
      <c r="N20" s="209">
        <v>283530.94</v>
      </c>
      <c r="O20" s="209"/>
      <c r="P20" s="209">
        <v>97743.44</v>
      </c>
      <c r="Q20" s="209"/>
      <c r="R20" s="209">
        <v>88586.16</v>
      </c>
      <c r="S20" s="209"/>
      <c r="T20" s="205">
        <f t="shared" ref="T20:T22" si="17">N20+O20-R20-S20-E20</f>
        <v>221601.7</v>
      </c>
      <c r="U20" s="227" t="s">
        <v>33</v>
      </c>
      <c r="V20" s="207">
        <f>AN18+D20+G20+J20</f>
        <v>50726.419679999963</v>
      </c>
      <c r="W20" s="205">
        <v>3268.61</v>
      </c>
      <c r="X20" s="205">
        <v>13218.86</v>
      </c>
      <c r="Y20" s="156">
        <v>1901.57</v>
      </c>
      <c r="Z20" s="205">
        <v>0</v>
      </c>
      <c r="AA20" s="156">
        <v>4923.08</v>
      </c>
      <c r="AB20" s="156">
        <v>8563.1200000000008</v>
      </c>
      <c r="AC20" s="205">
        <v>330.16</v>
      </c>
      <c r="AD20" s="205">
        <v>6316.1</v>
      </c>
      <c r="AE20" s="205">
        <v>2138.13</v>
      </c>
      <c r="AF20" s="205"/>
      <c r="AG20" s="205">
        <f>(R20+S20)*1%</f>
        <v>885.86160000000007</v>
      </c>
      <c r="AH20" s="205">
        <f>(R20+S20)*1.4%</f>
        <v>1240.20624</v>
      </c>
      <c r="AI20" s="205">
        <f>(D20+G20+J20)*10%</f>
        <v>4130.5010000000002</v>
      </c>
      <c r="AJ20" s="205">
        <f t="shared" ref="AJ20:AJ22" si="18">SUM(W20:AI20)</f>
        <v>46916.198839999997</v>
      </c>
      <c r="AK20" s="205">
        <f t="shared" ref="AK20:AK22" si="19">V20-AJ20</f>
        <v>3810.2208399999654</v>
      </c>
      <c r="AL20" s="205"/>
      <c r="AM20" s="205">
        <f t="shared" ref="AM20:AM22" si="20">AK20-AL20</f>
        <v>3810.2208399999654</v>
      </c>
      <c r="AN20" s="205">
        <f t="shared" ref="AN20:AN22" si="21">AM20</f>
        <v>3810.2208399999654</v>
      </c>
      <c r="AP20" s="205" t="s">
        <v>127</v>
      </c>
      <c r="AQ20" s="205">
        <f>AN18</f>
        <v>9421.4096799999625</v>
      </c>
      <c r="AR20" s="205">
        <f>D20+G20+J20</f>
        <v>41305.01</v>
      </c>
      <c r="AS20" s="205">
        <f t="shared" ref="AS20:AS22" si="22">AJ20</f>
        <v>46916.198839999997</v>
      </c>
      <c r="AT20" s="205"/>
      <c r="AU20" s="205"/>
      <c r="AV20" s="205">
        <f t="shared" ref="AV20:AV22" si="23">AQ20+AR20-AS20-AU20</f>
        <v>3810.2208399999654</v>
      </c>
    </row>
    <row r="21" spans="1:48" s="217" customFormat="1" ht="22.5" customHeight="1" x14ac:dyDescent="0.25">
      <c r="A21" s="318" t="s">
        <v>34</v>
      </c>
      <c r="B21" s="213">
        <f t="shared" ref="B21:B22" si="24">E20</f>
        <v>-26656.920000000006</v>
      </c>
      <c r="C21" s="213">
        <v>40842.74</v>
      </c>
      <c r="D21" s="213">
        <v>38346.36</v>
      </c>
      <c r="E21" s="213">
        <f t="shared" si="15"/>
        <v>-24160.540000000008</v>
      </c>
      <c r="F21" s="225">
        <v>17030.2</v>
      </c>
      <c r="G21" s="204">
        <v>2867.55</v>
      </c>
      <c r="H21" s="204">
        <f t="shared" ref="H21:H22" si="25">H20+F21-G21</f>
        <v>890369.62999999977</v>
      </c>
      <c r="I21" s="204"/>
      <c r="J21" s="204">
        <v>900</v>
      </c>
      <c r="K21" s="204">
        <f t="shared" ref="K21:K22" si="26">K20+I21-J21</f>
        <v>1906.92</v>
      </c>
      <c r="L21" s="204">
        <f t="shared" si="16"/>
        <v>892276.54999999981</v>
      </c>
      <c r="M21" s="228" t="s">
        <v>34</v>
      </c>
      <c r="N21" s="215">
        <v>297641.62</v>
      </c>
      <c r="O21" s="215"/>
      <c r="P21" s="215">
        <v>87844.27</v>
      </c>
      <c r="Q21" s="215"/>
      <c r="R21" s="215">
        <v>91660.64</v>
      </c>
      <c r="S21" s="215"/>
      <c r="T21" s="204">
        <f t="shared" si="17"/>
        <v>230141.52</v>
      </c>
      <c r="U21" s="228" t="s">
        <v>34</v>
      </c>
      <c r="V21" s="213">
        <f>AN20+D21+G21+J21</f>
        <v>45924.130839999969</v>
      </c>
      <c r="W21" s="204">
        <v>3268.61</v>
      </c>
      <c r="X21" s="204">
        <v>13218.86</v>
      </c>
      <c r="Y21" s="121">
        <v>1901.57</v>
      </c>
      <c r="Z21" s="204">
        <v>0</v>
      </c>
      <c r="AA21" s="121">
        <v>4923.08</v>
      </c>
      <c r="AB21" s="121">
        <v>8563.1200000000008</v>
      </c>
      <c r="AC21" s="204">
        <v>330.16</v>
      </c>
      <c r="AD21" s="204"/>
      <c r="AE21" s="204">
        <v>2138.13</v>
      </c>
      <c r="AF21" s="204">
        <v>1570.9</v>
      </c>
      <c r="AG21" s="204">
        <f>(R21+S21)*1%</f>
        <v>916.60640000000001</v>
      </c>
      <c r="AH21" s="204">
        <f>(R21+S21)*1.4%</f>
        <v>1283.2489599999999</v>
      </c>
      <c r="AI21" s="204">
        <f>(D21+G21+J21)*10%</f>
        <v>4211.3910000000005</v>
      </c>
      <c r="AJ21" s="204">
        <f t="shared" si="18"/>
        <v>42325.676360000005</v>
      </c>
      <c r="AK21" s="204">
        <f t="shared" si="19"/>
        <v>3598.454479999964</v>
      </c>
      <c r="AL21" s="204"/>
      <c r="AM21" s="204">
        <f t="shared" si="20"/>
        <v>3598.454479999964</v>
      </c>
      <c r="AN21" s="204">
        <f t="shared" si="21"/>
        <v>3598.454479999964</v>
      </c>
      <c r="AP21" s="204" t="s">
        <v>129</v>
      </c>
      <c r="AQ21" s="204">
        <f>AN20</f>
        <v>3810.2208399999654</v>
      </c>
      <c r="AR21" s="204">
        <f>D21+G21+J21</f>
        <v>42113.91</v>
      </c>
      <c r="AS21" s="204">
        <f t="shared" si="22"/>
        <v>42325.676360000005</v>
      </c>
      <c r="AT21" s="204"/>
      <c r="AU21" s="204"/>
      <c r="AV21" s="204">
        <f t="shared" si="23"/>
        <v>3598.454479999964</v>
      </c>
    </row>
    <row r="22" spans="1:48" s="217" customFormat="1" ht="15" customHeight="1" x14ac:dyDescent="0.25">
      <c r="A22" s="318" t="s">
        <v>35</v>
      </c>
      <c r="B22" s="213">
        <f t="shared" si="24"/>
        <v>-24160.540000000008</v>
      </c>
      <c r="C22" s="213">
        <v>40842.74</v>
      </c>
      <c r="D22" s="213">
        <v>52638.8</v>
      </c>
      <c r="E22" s="213">
        <f t="shared" si="15"/>
        <v>-35956.600000000013</v>
      </c>
      <c r="F22" s="204">
        <v>18743</v>
      </c>
      <c r="G22" s="204">
        <v>1656.73</v>
      </c>
      <c r="H22" s="204">
        <f t="shared" si="25"/>
        <v>907455.89999999979</v>
      </c>
      <c r="I22" s="204">
        <v>1500</v>
      </c>
      <c r="J22" s="204">
        <v>720</v>
      </c>
      <c r="K22" s="204">
        <f t="shared" si="26"/>
        <v>2686.92</v>
      </c>
      <c r="L22" s="204">
        <f t="shared" si="16"/>
        <v>910142.81999999983</v>
      </c>
      <c r="M22" s="228" t="s">
        <v>35</v>
      </c>
      <c r="N22" s="204">
        <v>2699724.61</v>
      </c>
      <c r="O22" s="204"/>
      <c r="P22" s="204">
        <v>91383.21</v>
      </c>
      <c r="Q22" s="204"/>
      <c r="R22" s="204">
        <v>109368.08</v>
      </c>
      <c r="S22" s="204"/>
      <c r="T22" s="204">
        <f t="shared" si="17"/>
        <v>2626313.13</v>
      </c>
      <c r="U22" s="228" t="s">
        <v>35</v>
      </c>
      <c r="V22" s="213">
        <f>AN21+D22+G22+J22</f>
        <v>58613.98447999997</v>
      </c>
      <c r="W22" s="204">
        <v>3268.61</v>
      </c>
      <c r="X22" s="204">
        <v>13218.86</v>
      </c>
      <c r="Y22" s="121">
        <v>1901.57</v>
      </c>
      <c r="Z22" s="204">
        <v>0</v>
      </c>
      <c r="AA22" s="121">
        <v>4923.08</v>
      </c>
      <c r="AB22" s="121">
        <v>8563.1200000000008</v>
      </c>
      <c r="AC22" s="204">
        <v>330.16</v>
      </c>
      <c r="AD22" s="204"/>
      <c r="AE22" s="204">
        <v>2138.13</v>
      </c>
      <c r="AF22" s="204"/>
      <c r="AG22" s="204">
        <f>(R22+S22)*1%</f>
        <v>1093.6808000000001</v>
      </c>
      <c r="AH22" s="204">
        <f>(R22+S22)*1.4%</f>
        <v>1531.1531199999999</v>
      </c>
      <c r="AI22" s="204">
        <f>(D22+G22+J22)*10%</f>
        <v>5501.5530000000008</v>
      </c>
      <c r="AJ22" s="204">
        <f t="shared" si="18"/>
        <v>42469.916920000011</v>
      </c>
      <c r="AK22" s="204">
        <f t="shared" si="19"/>
        <v>16144.067559999959</v>
      </c>
      <c r="AL22" s="204"/>
      <c r="AM22" s="204">
        <f t="shared" si="20"/>
        <v>16144.067559999959</v>
      </c>
      <c r="AN22" s="204">
        <f t="shared" si="21"/>
        <v>16144.067559999959</v>
      </c>
      <c r="AP22" s="204" t="s">
        <v>130</v>
      </c>
      <c r="AQ22" s="204">
        <f>AN21</f>
        <v>3598.454479999964</v>
      </c>
      <c r="AR22" s="204">
        <f>D22+G22+J22</f>
        <v>55015.530000000006</v>
      </c>
      <c r="AS22" s="204">
        <f t="shared" si="22"/>
        <v>42469.916920000011</v>
      </c>
      <c r="AT22" s="204"/>
      <c r="AU22" s="204"/>
      <c r="AV22" s="204">
        <f t="shared" si="23"/>
        <v>16144.067559999959</v>
      </c>
    </row>
    <row r="23" spans="1:48" x14ac:dyDescent="0.25">
      <c r="M23" s="169"/>
      <c r="AB23" s="132"/>
    </row>
  </sheetData>
  <mergeCells count="28">
    <mergeCell ref="AP3:AP5"/>
    <mergeCell ref="AQ3:AQ5"/>
    <mergeCell ref="AR3:AR5"/>
    <mergeCell ref="AS3:AU3"/>
    <mergeCell ref="AV3:AV4"/>
    <mergeCell ref="N4:O4"/>
    <mergeCell ref="P4:Q4"/>
    <mergeCell ref="R4:S4"/>
    <mergeCell ref="AS4:AS5"/>
    <mergeCell ref="AT4:AU4"/>
    <mergeCell ref="W2:AJ2"/>
    <mergeCell ref="AK2:AK3"/>
    <mergeCell ref="AL2:AL3"/>
    <mergeCell ref="AM2:AM3"/>
    <mergeCell ref="AN2:AN3"/>
    <mergeCell ref="N3:T3"/>
    <mergeCell ref="H2:H3"/>
    <mergeCell ref="I2:I3"/>
    <mergeCell ref="J2:J3"/>
    <mergeCell ref="K2:K3"/>
    <mergeCell ref="L2:L3"/>
    <mergeCell ref="V2:V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2012-2013</vt:lpstr>
      <vt:lpstr>кальк</vt:lpstr>
      <vt:lpstr>ремонт </vt:lpstr>
      <vt:lpstr>2014</vt:lpstr>
      <vt:lpstr>Лист1</vt:lpstr>
      <vt:lpstr>2014-2015гг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2015-03-11T06:24:30Z</cp:lastPrinted>
  <dcterms:created xsi:type="dcterms:W3CDTF">2008-11-28T08:04:35Z</dcterms:created>
  <dcterms:modified xsi:type="dcterms:W3CDTF">2015-05-28T07:21:07Z</dcterms:modified>
</cp:coreProperties>
</file>